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대표개인자료\이현웰가 감사자료\농구장외 2개소 공사관련\발주예정인 입찰공고와 시방그리고 내역서\"/>
    </mc:Choice>
  </mc:AlternateContent>
  <xr:revisionPtr revIDLastSave="0" documentId="13_ncr:1_{4181BEE2-ACCE-4E66-99E1-2064D38AD12B}" xr6:coauthVersionLast="36" xr6:coauthVersionMax="47" xr10:uidLastSave="{00000000-0000-0000-0000-000000000000}"/>
  <bookViews>
    <workbookView xWindow="-120" yWindow="-120" windowWidth="24240" windowHeight="13290" activeTab="1" xr2:uid="{E1A669C8-96C9-4C49-83F4-BE2308BF2200}"/>
  </bookViews>
  <sheets>
    <sheet name="표지" sheetId="6" r:id="rId1"/>
    <sheet name="원가계산서" sheetId="5" r:id="rId2"/>
    <sheet name="공종별집계표" sheetId="4" r:id="rId3"/>
    <sheet name="공종별내역서 (2)" sheetId="8" r:id="rId4"/>
    <sheet name="산출서" sheetId="7" r:id="rId5"/>
    <sheet name=" 공사설정 " sheetId="2" state="hidden" r:id="rId6"/>
    <sheet name="Sheet1" sheetId="1" state="hidden" r:id="rId7"/>
  </sheets>
  <externalReferences>
    <externalReference r:id="rId8"/>
  </externalReferences>
  <definedNames>
    <definedName name="_xlnm.Print_Area" localSheetId="3">'공종별내역서 (2)'!$A$1:$M$44</definedName>
    <definedName name="_xlnm.Print_Area" localSheetId="2">공종별집계표!$A$1:$M$27</definedName>
    <definedName name="_xlnm.Print_Area" localSheetId="1">원가계산서!$A$1:$G$32</definedName>
    <definedName name="_xlnm.Print_Titles" localSheetId="3">'공종별내역서 (2)'!$1:$3</definedName>
    <definedName name="_xlnm.Print_Titles" localSheetId="2">공종별집계표!$1:$4</definedName>
    <definedName name="_xlnm.Print_Titles" localSheetId="1">원가계산서!$1:$3</definedName>
    <definedName name="계약명1">[1]Main!$H$7</definedName>
    <definedName name="대표">[1]Main!$C$8</definedName>
    <definedName name="발주처1">[1]Main!$H$5</definedName>
    <definedName name="상호">[1]Main!$C$6</definedName>
    <definedName name="위치1">[1]Main!$H$20</definedName>
    <definedName name="주소">[1]Main!$C$7</definedName>
  </definedName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6" i="5" l="1"/>
  <c r="J26" i="8" l="1"/>
  <c r="K26" i="8"/>
  <c r="H26" i="8"/>
  <c r="F26" i="8"/>
  <c r="E26" i="7"/>
  <c r="F25" i="8"/>
  <c r="H25" i="8"/>
  <c r="J25" i="8"/>
  <c r="K25" i="8"/>
  <c r="L26" i="8" l="1"/>
  <c r="L25" i="8"/>
  <c r="E22" i="7" l="1"/>
  <c r="E21" i="7"/>
  <c r="M20" i="7"/>
  <c r="E20" i="7"/>
  <c r="I20" i="7"/>
  <c r="H16" i="8"/>
  <c r="K16" i="8"/>
  <c r="J16" i="8"/>
  <c r="F16" i="8" l="1"/>
  <c r="L16" i="8" s="1"/>
  <c r="E24" i="7" l="1"/>
  <c r="J23" i="8" l="1"/>
  <c r="K23" i="8"/>
  <c r="K24" i="8"/>
  <c r="H23" i="8"/>
  <c r="F23" i="8"/>
  <c r="F24" i="8"/>
  <c r="A4" i="8"/>
  <c r="A6" i="4" s="1"/>
  <c r="K42" i="8"/>
  <c r="J42" i="8"/>
  <c r="F42" i="8"/>
  <c r="K35" i="8"/>
  <c r="F35" i="8"/>
  <c r="C35" i="8"/>
  <c r="B35" i="8"/>
  <c r="A35" i="8"/>
  <c r="F34" i="8"/>
  <c r="C34" i="8"/>
  <c r="A34" i="8"/>
  <c r="K33" i="8"/>
  <c r="J33" i="8"/>
  <c r="C33" i="8"/>
  <c r="A33" i="8"/>
  <c r="K32" i="8"/>
  <c r="J32" i="8"/>
  <c r="C32" i="8"/>
  <c r="B32" i="8"/>
  <c r="A32" i="8"/>
  <c r="K31" i="8"/>
  <c r="J31" i="8"/>
  <c r="C31" i="8"/>
  <c r="B31" i="8"/>
  <c r="A31" i="8"/>
  <c r="A30" i="8"/>
  <c r="A8" i="4" s="1"/>
  <c r="K22" i="8"/>
  <c r="J22" i="8"/>
  <c r="C22" i="8"/>
  <c r="B22" i="8"/>
  <c r="A22" i="8"/>
  <c r="J21" i="8"/>
  <c r="C21" i="8"/>
  <c r="B21" i="8"/>
  <c r="A21" i="8"/>
  <c r="J20" i="8"/>
  <c r="C20" i="8"/>
  <c r="A20" i="8"/>
  <c r="K19" i="8"/>
  <c r="F19" i="8"/>
  <c r="C19" i="8"/>
  <c r="B19" i="8"/>
  <c r="A19" i="8"/>
  <c r="K18" i="8"/>
  <c r="J18" i="8"/>
  <c r="C18" i="8"/>
  <c r="B18" i="8"/>
  <c r="A18" i="8"/>
  <c r="K17" i="8"/>
  <c r="J17" i="8"/>
  <c r="C17" i="8"/>
  <c r="B17" i="8"/>
  <c r="A17" i="8"/>
  <c r="A15" i="8"/>
  <c r="A7" i="4" s="1"/>
  <c r="J12" i="8"/>
  <c r="C12" i="8"/>
  <c r="B12" i="8"/>
  <c r="A12" i="8"/>
  <c r="K11" i="8"/>
  <c r="J11" i="8"/>
  <c r="C11" i="8"/>
  <c r="B11" i="8"/>
  <c r="A11" i="8"/>
  <c r="K10" i="8"/>
  <c r="J10" i="8"/>
  <c r="C10" i="8"/>
  <c r="B10" i="8"/>
  <c r="A10" i="8"/>
  <c r="K9" i="8"/>
  <c r="J9" i="8"/>
  <c r="C9" i="8"/>
  <c r="B9" i="8"/>
  <c r="A9" i="8"/>
  <c r="K8" i="8"/>
  <c r="F8" i="8"/>
  <c r="C8" i="8"/>
  <c r="B8" i="8"/>
  <c r="A8" i="8"/>
  <c r="K7" i="8"/>
  <c r="H7" i="8"/>
  <c r="C7" i="8"/>
  <c r="B7" i="8"/>
  <c r="A7" i="8"/>
  <c r="K6" i="8"/>
  <c r="J6" i="8"/>
  <c r="C6" i="8"/>
  <c r="B6" i="8"/>
  <c r="A6" i="8"/>
  <c r="K5" i="8"/>
  <c r="J5" i="8"/>
  <c r="C5" i="8"/>
  <c r="B5" i="8"/>
  <c r="A5" i="8"/>
  <c r="E33" i="7"/>
  <c r="E16" i="7"/>
  <c r="K21" i="8" l="1"/>
  <c r="F7" i="8"/>
  <c r="L7" i="8" s="1"/>
  <c r="H17" i="8"/>
  <c r="H19" i="8"/>
  <c r="J7" i="8"/>
  <c r="J19" i="8"/>
  <c r="H8" i="8"/>
  <c r="H11" i="8"/>
  <c r="F31" i="8"/>
  <c r="L42" i="8"/>
  <c r="H34" i="8"/>
  <c r="H24" i="8"/>
  <c r="J24" i="8"/>
  <c r="K20" i="8"/>
  <c r="H35" i="8"/>
  <c r="F9" i="8"/>
  <c r="H22" i="8"/>
  <c r="L23" i="8"/>
  <c r="F5" i="8"/>
  <c r="F11" i="8"/>
  <c r="L11" i="8" s="1"/>
  <c r="F12" i="8"/>
  <c r="F17" i="8"/>
  <c r="F20" i="8"/>
  <c r="H21" i="8"/>
  <c r="J34" i="8"/>
  <c r="F21" i="8"/>
  <c r="H5" i="8"/>
  <c r="F6" i="8"/>
  <c r="J8" i="8"/>
  <c r="H9" i="8"/>
  <c r="F10" i="8"/>
  <c r="F18" i="8"/>
  <c r="F22" i="8"/>
  <c r="H31" i="8"/>
  <c r="F32" i="8"/>
  <c r="F33" i="8"/>
  <c r="K34" i="8"/>
  <c r="J35" i="8"/>
  <c r="H6" i="8"/>
  <c r="H10" i="8"/>
  <c r="H18" i="8"/>
  <c r="H32" i="8"/>
  <c r="H33" i="8"/>
  <c r="E32" i="7"/>
  <c r="E31" i="7"/>
  <c r="E30" i="7"/>
  <c r="E29" i="7"/>
  <c r="E7" i="7"/>
  <c r="E25" i="7"/>
  <c r="E23" i="7"/>
  <c r="E19" i="7"/>
  <c r="E18" i="7"/>
  <c r="E17" i="7"/>
  <c r="E15" i="7"/>
  <c r="K20" i="7"/>
  <c r="L9" i="8" l="1"/>
  <c r="L19" i="8"/>
  <c r="L34" i="8"/>
  <c r="J44" i="8"/>
  <c r="I8" i="4" s="1"/>
  <c r="L17" i="8"/>
  <c r="L8" i="8"/>
  <c r="L24" i="8"/>
  <c r="H20" i="8"/>
  <c r="L20" i="8" s="1"/>
  <c r="L21" i="8"/>
  <c r="J28" i="8"/>
  <c r="I7" i="4" s="1"/>
  <c r="L33" i="8"/>
  <c r="L10" i="8"/>
  <c r="L35" i="8"/>
  <c r="J14" i="8"/>
  <c r="I6" i="4" s="1"/>
  <c r="L32" i="8"/>
  <c r="F44" i="8"/>
  <c r="E8" i="4" s="1"/>
  <c r="H44" i="8"/>
  <c r="G8" i="4" s="1"/>
  <c r="L18" i="8"/>
  <c r="L5" i="8"/>
  <c r="F14" i="8"/>
  <c r="E6" i="4" s="1"/>
  <c r="L22" i="8"/>
  <c r="H12" i="8"/>
  <c r="L12" i="8" s="1"/>
  <c r="K12" i="8"/>
  <c r="L6" i="8"/>
  <c r="L31" i="8"/>
  <c r="F28" i="8"/>
  <c r="E7" i="4" s="1"/>
  <c r="E11" i="7"/>
  <c r="E10" i="7"/>
  <c r="E9" i="7"/>
  <c r="E6" i="7"/>
  <c r="E5" i="7"/>
  <c r="E4" i="7"/>
  <c r="E8" i="7"/>
  <c r="D8" i="7"/>
  <c r="H9" i="7"/>
  <c r="H8" i="7"/>
  <c r="A2" i="4"/>
  <c r="A1" i="8" s="1"/>
  <c r="H28" i="8" l="1"/>
  <c r="G7" i="4" s="1"/>
  <c r="L44" i="8"/>
  <c r="L28" i="8"/>
  <c r="L14" i="8"/>
  <c r="H14" i="8"/>
  <c r="G6" i="4" s="1"/>
  <c r="I8" i="7"/>
  <c r="K8" i="7" s="1"/>
  <c r="M8" i="7" s="1"/>
  <c r="A12" i="6"/>
  <c r="F7" i="4" l="1"/>
  <c r="H7" i="4"/>
  <c r="J7" i="4"/>
  <c r="H8" i="4"/>
  <c r="K7" i="4" l="1"/>
  <c r="H6" i="4"/>
  <c r="J8" i="4"/>
  <c r="F8" i="4"/>
  <c r="L7" i="4"/>
  <c r="G5" i="4" l="1"/>
  <c r="H5" i="4" s="1"/>
  <c r="E8" i="5" s="1"/>
  <c r="J6" i="4"/>
  <c r="L8" i="4"/>
  <c r="K8" i="4"/>
  <c r="I5" i="4" l="1"/>
  <c r="J5" i="4" s="1"/>
  <c r="E11" i="5" s="1"/>
  <c r="E9" i="5"/>
  <c r="H27" i="4"/>
  <c r="F6" i="4"/>
  <c r="J27" i="4" l="1"/>
  <c r="E10" i="5"/>
  <c r="E5" i="4"/>
  <c r="F5" i="4" s="1"/>
  <c r="E4" i="5" s="1"/>
  <c r="K6" i="4"/>
  <c r="L6" i="4"/>
  <c r="E13" i="5" l="1"/>
  <c r="E12" i="5"/>
  <c r="K5" i="4"/>
  <c r="F27" i="4"/>
  <c r="L5" i="4"/>
  <c r="L27" i="4" s="1"/>
  <c r="E7" i="5"/>
  <c r="E17" i="5" s="1"/>
  <c r="E20" i="5" l="1"/>
  <c r="E21" i="5"/>
  <c r="E22" i="5"/>
  <c r="E23" i="5" l="1"/>
  <c r="E24" i="5" l="1"/>
  <c r="E25" i="5" s="1"/>
  <c r="E29" i="5" l="1"/>
  <c r="E30" i="5" l="1"/>
  <c r="E31" i="5" s="1"/>
  <c r="E32" i="5" s="1"/>
  <c r="E7" i="6" l="1"/>
  <c r="C7" i="6" s="1"/>
</calcChain>
</file>

<file path=xl/sharedStrings.xml><?xml version="1.0" encoding="utf-8"?>
<sst xmlns="http://schemas.openxmlformats.org/spreadsheetml/2006/main" count="402" uniqueCount="242">
  <si>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</si>
  <si>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</si>
  <si>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</si>
  <si>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</si>
  <si>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</si>
  <si>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</si>
  <si>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</si>
  <si>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</si>
  <si>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</si>
  <si>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</si>
  <si>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</si>
  <si>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</si>
  <si>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/>
  </si>
  <si>
    <t>F</t>
  </si>
  <si>
    <t>[ 합           계 ]</t>
  </si>
  <si>
    <t>공 사 원 가 계 산 서</t>
  </si>
  <si>
    <t>비        목</t>
  </si>
  <si>
    <t>금      액</t>
  </si>
  <si>
    <t>구        성        비</t>
  </si>
  <si>
    <t>비      고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</si>
  <si>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</si>
  <si>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</si>
  <si>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</si>
  <si>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</si>
  <si>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</si>
  <si>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</si>
  <si>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</si>
  <si>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</si>
  <si>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</si>
  <si>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</si>
  <si>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</si>
  <si>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</si>
  <si>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</si>
  <si>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</si>
  <si>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</si>
  <si>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</si>
  <si>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BS</t>
  </si>
  <si>
    <t>C2</t>
  </si>
  <si>
    <t>경              비</t>
  </si>
  <si>
    <t>C4</t>
  </si>
  <si>
    <t>산  재  보  험  료</t>
  </si>
  <si>
    <t>노무비 * 3.56%</t>
  </si>
  <si>
    <t>C5</t>
  </si>
  <si>
    <t>고  용  보  험  료</t>
  </si>
  <si>
    <t>노무비 * 1.01%</t>
  </si>
  <si>
    <t>C6</t>
  </si>
  <si>
    <t>국민  건강  보험료</t>
  </si>
  <si>
    <t>C7</t>
  </si>
  <si>
    <t>국민  연금  보험료</t>
  </si>
  <si>
    <t>CB</t>
  </si>
  <si>
    <t>노인장기요양보험료</t>
  </si>
  <si>
    <t>CA</t>
  </si>
  <si>
    <t>산업안전보건관리비</t>
  </si>
  <si>
    <t>(재료비+직노+관급자재비) * 3.11%</t>
  </si>
  <si>
    <t>CD</t>
  </si>
  <si>
    <t>석면분담금</t>
  </si>
  <si>
    <t>CC</t>
  </si>
  <si>
    <t>임금채권 부담금</t>
  </si>
  <si>
    <t>CG</t>
  </si>
  <si>
    <t>기   타    경   비</t>
  </si>
  <si>
    <t>(재료비+노무비) * 5%</t>
  </si>
  <si>
    <t>CH</t>
  </si>
  <si>
    <t>환  경  보  전  비</t>
  </si>
  <si>
    <t>(재료비+직노+경비) * 0.3%</t>
  </si>
  <si>
    <t>CL</t>
  </si>
  <si>
    <t>건설기계대여금지급보증서발급수수료</t>
  </si>
  <si>
    <t>CS</t>
  </si>
  <si>
    <t>S1</t>
  </si>
  <si>
    <t>계</t>
  </si>
  <si>
    <t>D1</t>
  </si>
  <si>
    <t>일  반  관  리  비</t>
  </si>
  <si>
    <t>계 * 8%</t>
  </si>
  <si>
    <t>D2</t>
  </si>
  <si>
    <t>이              윤</t>
  </si>
  <si>
    <t>D7</t>
  </si>
  <si>
    <t>고자재처리비</t>
  </si>
  <si>
    <t>D8</t>
  </si>
  <si>
    <t>폐기물처리비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</si>
  <si>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</si>
  <si>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</si>
  <si>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</si>
  <si>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</si>
  <si>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</si>
  <si>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</si>
  <si>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</si>
  <si>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S2</t>
  </si>
  <si>
    <t>총   공   사    비</t>
  </si>
  <si>
    <t>이 Sheet는 수정하지 마십시요</t>
  </si>
  <si>
    <t>공사구분</t>
  </si>
  <si>
    <t>C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</si>
  <si>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</si>
  <si>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</si>
  <si>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</si>
  <si>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</si>
  <si>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</si>
  <si>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</si>
  <si>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</si>
  <si>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</si>
  <si>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일위대가내역소수점처리</t>
  </si>
  <si>
    <t>단가명</t>
  </si>
  <si>
    <t>조달청가격</t>
  </si>
  <si>
    <t>거래가격</t>
  </si>
  <si>
    <t>유통물가</t>
  </si>
  <si>
    <t>조사가격1</t>
  </si>
  <si>
    <t>조사가격2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</si>
  <si>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</si>
  <si>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</si>
  <si>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</si>
  <si>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</si>
  <si>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</si>
  <si>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</si>
  <si>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</si>
  <si>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</si>
  <si>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A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</si>
  <si>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</si>
  <si>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</si>
  <si>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</si>
  <si>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</si>
  <si>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</si>
  <si>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</si>
  <si>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단가 순서</t>
  </si>
  <si>
    <t>코드</t>
  </si>
  <si>
    <t>공종구분명</t>
  </si>
  <si>
    <t>원가비목코드</t>
  </si>
  <si>
    <t>작 업 부 산 물</t>
  </si>
  <si>
    <t>운    반    비</t>
  </si>
  <si>
    <t>C1</t>
  </si>
  <si>
    <t>관 급 자 재 비</t>
  </si>
  <si>
    <t>DJ</t>
  </si>
  <si>
    <t>사 급 자 재 비</t>
  </si>
  <si>
    <t>D3</t>
  </si>
  <si>
    <t>품질관리비</t>
  </si>
  <si>
    <t>CJ</t>
  </si>
  <si>
    <t>...</t>
  </si>
  <si>
    <t>....</t>
  </si>
  <si>
    <t>B</t>
  </si>
  <si>
    <t>.....</t>
  </si>
  <si>
    <t>D</t>
  </si>
  <si>
    <t>E</t>
  </si>
  <si>
    <t>G</t>
  </si>
  <si>
    <t>H</t>
  </si>
  <si>
    <t>I</t>
  </si>
  <si>
    <t>J</t>
  </si>
  <si>
    <t>공  사  명:</t>
    <phoneticPr fontId="9" type="noConversion"/>
  </si>
  <si>
    <t>위         치:</t>
    <phoneticPr fontId="9" type="noConversion"/>
  </si>
  <si>
    <t>도  급  액:</t>
    <phoneticPr fontId="9" type="noConversion"/>
  </si>
  <si>
    <t xml:space="preserve"> </t>
    <phoneticPr fontId="9" type="noConversion"/>
  </si>
  <si>
    <t xml:space="preserve"> 이현웰가 보수공사</t>
    <phoneticPr fontId="1" type="noConversion"/>
  </si>
  <si>
    <t>설  계  내  역  서</t>
    <phoneticPr fontId="9" type="noConversion"/>
  </si>
  <si>
    <t>이현웰가 관리사무소 귀하</t>
    <phoneticPr fontId="1" type="noConversion"/>
  </si>
  <si>
    <t>공사명 : 이현웰가 외부 보수공사</t>
    <phoneticPr fontId="1" type="noConversion"/>
  </si>
  <si>
    <t>산출서</t>
    <phoneticPr fontId="1" type="noConversion"/>
  </si>
  <si>
    <t>터파기</t>
    <phoneticPr fontId="1" type="noConversion"/>
  </si>
  <si>
    <t>7.5*4.5*0.15</t>
    <phoneticPr fontId="1" type="noConversion"/>
  </si>
  <si>
    <t>사토처리</t>
    <phoneticPr fontId="1" type="noConversion"/>
  </si>
  <si>
    <t>7.5*4.5*0.15*1.05</t>
    <phoneticPr fontId="1" type="noConversion"/>
  </si>
  <si>
    <t>품명</t>
    <phoneticPr fontId="1" type="noConversion"/>
  </si>
  <si>
    <t>산출식</t>
    <phoneticPr fontId="1" type="noConversion"/>
  </si>
  <si>
    <t>비닐깔기</t>
    <phoneticPr fontId="1" type="noConversion"/>
  </si>
  <si>
    <t>7.7*4.7</t>
    <phoneticPr fontId="1" type="noConversion"/>
  </si>
  <si>
    <t>거푸집설치</t>
    <phoneticPr fontId="1" type="noConversion"/>
  </si>
  <si>
    <t>철근배근</t>
    <phoneticPr fontId="1" type="noConversion"/>
  </si>
  <si>
    <t>규격</t>
    <phoneticPr fontId="1" type="noConversion"/>
  </si>
  <si>
    <t>0.03 2겹</t>
    <phoneticPr fontId="1" type="noConversion"/>
  </si>
  <si>
    <t>합판거푸집</t>
    <phoneticPr fontId="1" type="noConversion"/>
  </si>
  <si>
    <t>4.5*(7.5/0.3+1)</t>
    <phoneticPr fontId="1" type="noConversion"/>
  </si>
  <si>
    <t>7.5*(4.5/0.3+1)</t>
    <phoneticPr fontId="1" type="noConversion"/>
  </si>
  <si>
    <t>단위</t>
    <phoneticPr fontId="1" type="noConversion"/>
  </si>
  <si>
    <t>m3</t>
    <phoneticPr fontId="1" type="noConversion"/>
  </si>
  <si>
    <t>m2</t>
    <phoneticPr fontId="1" type="noConversion"/>
  </si>
  <si>
    <t>톤</t>
    <phoneticPr fontId="1" type="noConversion"/>
  </si>
  <si>
    <t>레미콘</t>
    <phoneticPr fontId="1" type="noConversion"/>
  </si>
  <si>
    <t>기계미장</t>
    <phoneticPr fontId="1" type="noConversion"/>
  </si>
  <si>
    <t>하드너</t>
    <phoneticPr fontId="1" type="noConversion"/>
  </si>
  <si>
    <t>7.5*4.5</t>
    <phoneticPr fontId="1" type="noConversion"/>
  </si>
  <si>
    <t>물량</t>
    <phoneticPr fontId="1" type="noConversion"/>
  </si>
  <si>
    <t>농구장(13.8*13.8)</t>
    <phoneticPr fontId="1" type="noConversion"/>
  </si>
  <si>
    <t>농구장 바닥 철거</t>
    <phoneticPr fontId="1" type="noConversion"/>
  </si>
  <si>
    <t>14*14*0.15</t>
    <phoneticPr fontId="1" type="noConversion"/>
  </si>
  <si>
    <t>폐기물 처리</t>
    <phoneticPr fontId="1" type="noConversion"/>
  </si>
  <si>
    <t>운반 및 처리(상차포함)</t>
    <phoneticPr fontId="1" type="noConversion"/>
  </si>
  <si>
    <t>14*14*0.15*2.4</t>
    <phoneticPr fontId="1" type="noConversion"/>
  </si>
  <si>
    <t>경계석설치</t>
    <phoneticPr fontId="1" type="noConversion"/>
  </si>
  <si>
    <t>m</t>
    <phoneticPr fontId="1" type="noConversion"/>
  </si>
  <si>
    <t>(14+14)*2</t>
    <phoneticPr fontId="1" type="noConversion"/>
  </si>
  <si>
    <t>150*150,콘크리트 포함</t>
    <phoneticPr fontId="1" type="noConversion"/>
  </si>
  <si>
    <t>바닥방수</t>
    <phoneticPr fontId="1" type="noConversion"/>
  </si>
  <si>
    <t>14*14</t>
    <phoneticPr fontId="1" type="noConversion"/>
  </si>
  <si>
    <t>13.8*13.8</t>
    <phoneticPr fontId="1" type="noConversion"/>
  </si>
  <si>
    <t>농구대 라인</t>
    <phoneticPr fontId="1" type="noConversion"/>
  </si>
  <si>
    <t>식</t>
    <phoneticPr fontId="1" type="noConversion"/>
  </si>
  <si>
    <t>1*1</t>
    <phoneticPr fontId="1" type="noConversion"/>
  </si>
  <si>
    <t>(4.5+4.5+4.5)*0.2</t>
    <phoneticPr fontId="1" type="noConversion"/>
  </si>
  <si>
    <t>(2+3.5)*2*0.2</t>
    <phoneticPr fontId="1" type="noConversion"/>
  </si>
  <si>
    <t xml:space="preserve">레미콘 </t>
    <phoneticPr fontId="1" type="noConversion"/>
  </si>
  <si>
    <t>(3.5*2)*0.15</t>
    <phoneticPr fontId="1" type="noConversion"/>
  </si>
  <si>
    <t>펌프카</t>
    <phoneticPr fontId="1" type="noConversion"/>
  </si>
  <si>
    <t>레미콘 타설</t>
    <phoneticPr fontId="1" type="noConversion"/>
  </si>
  <si>
    <t>조면처리</t>
    <phoneticPr fontId="1" type="noConversion"/>
  </si>
  <si>
    <t>3.5*2</t>
    <phoneticPr fontId="1" type="noConversion"/>
  </si>
  <si>
    <t>보통토사</t>
    <phoneticPr fontId="1" type="noConversion"/>
  </si>
  <si>
    <t>소계</t>
    <phoneticPr fontId="1" type="noConversion"/>
  </si>
  <si>
    <t>게스트하우스 (7.5*4.5)</t>
    <phoneticPr fontId="1" type="noConversion"/>
  </si>
  <si>
    <t>난간대 설치</t>
    <phoneticPr fontId="1" type="noConversion"/>
  </si>
  <si>
    <t>인력타설</t>
    <phoneticPr fontId="1" type="noConversion"/>
  </si>
  <si>
    <t>스텐(시공도)</t>
    <phoneticPr fontId="1" type="noConversion"/>
  </si>
  <si>
    <t>이현웰가 외부 보수공사</t>
    <phoneticPr fontId="1" type="noConversion"/>
  </si>
  <si>
    <t>(노무비+경비+일반관리비) * 10%</t>
    <phoneticPr fontId="1" type="noConversion"/>
  </si>
  <si>
    <t>경계석 및 콘크리트</t>
    <phoneticPr fontId="1" type="noConversion"/>
  </si>
  <si>
    <t>직접노무비 * 13%</t>
    <phoneticPr fontId="1" type="noConversion"/>
  </si>
  <si>
    <t>(재료비+직노+경비) * 0.32%</t>
    <phoneticPr fontId="1" type="noConversion"/>
  </si>
  <si>
    <t>비노출우레탄(기존방수층 부부보수포함)'3mm</t>
    <phoneticPr fontId="1" type="noConversion"/>
  </si>
  <si>
    <t>기존 라인동일 시공도</t>
    <phoneticPr fontId="1" type="noConversion"/>
  </si>
  <si>
    <t>진주시 이현동</t>
    <phoneticPr fontId="1" type="noConversion"/>
  </si>
  <si>
    <t>25-24-15</t>
    <phoneticPr fontId="1" type="noConversion"/>
  </si>
  <si>
    <t>외부 경사로(2*3.5)</t>
    <phoneticPr fontId="1" type="noConversion"/>
  </si>
  <si>
    <t>농구장 단차부위 경사로</t>
    <phoneticPr fontId="1" type="noConversion"/>
  </si>
  <si>
    <t>m</t>
    <phoneticPr fontId="1" type="noConversion"/>
  </si>
  <si>
    <t>농구대  보수</t>
    <phoneticPr fontId="1" type="noConversion"/>
  </si>
  <si>
    <t>식</t>
    <phoneticPr fontId="1" type="noConversion"/>
  </si>
  <si>
    <t>바닥 고경질 우레탄</t>
    <phoneticPr fontId="1" type="noConversion"/>
  </si>
  <si>
    <t>거푸집설치</t>
  </si>
  <si>
    <t>합판거푸집</t>
  </si>
  <si>
    <t>m2</t>
  </si>
  <si>
    <t>노출고경질우레탄 5mm,논슬립형</t>
    <phoneticPr fontId="1" type="noConversion"/>
  </si>
  <si>
    <t>HD13mm@250</t>
    <phoneticPr fontId="1" type="noConversion"/>
  </si>
  <si>
    <t>13.8*(13.8/0.25+1)*2</t>
    <phoneticPr fontId="1" type="noConversion"/>
  </si>
  <si>
    <t>1.7*1</t>
    <phoneticPr fontId="1" type="noConversion"/>
  </si>
  <si>
    <t>13.8*13.8*0.15*1.03</t>
    <phoneticPr fontId="1" type="noConversion"/>
  </si>
  <si>
    <t>옥상 신축줄눈</t>
  </si>
  <si>
    <t>컷팅+코킹</t>
  </si>
  <si>
    <t>M</t>
  </si>
  <si>
    <t>(14+14)*2</t>
    <phoneticPr fontId="1" type="noConversion"/>
  </si>
  <si>
    <t xml:space="preserve"> 신축줄눈</t>
    <phoneticPr fontId="1" type="noConversion"/>
  </si>
  <si>
    <t>HD13mm,@300</t>
    <phoneticPr fontId="1" type="noConversion"/>
  </si>
  <si>
    <t>농구대 백판 및 링교체, 전체도장포함</t>
    <phoneticPr fontId="1" type="noConversion"/>
  </si>
  <si>
    <t>농구장 옆 막구조 휴게실 도장</t>
    <phoneticPr fontId="1" type="noConversion"/>
  </si>
  <si>
    <t>식</t>
    <phoneticPr fontId="1" type="noConversion"/>
  </si>
  <si>
    <t>철구조물 재도장(시공도)</t>
    <phoneticPr fontId="1" type="noConversion"/>
  </si>
  <si>
    <t>PE제품(4면중 2면),스텐 앙카식</t>
    <phoneticPr fontId="1" type="noConversion"/>
  </si>
  <si>
    <t>정산처리</t>
    <phoneticPr fontId="1" type="noConversion"/>
  </si>
  <si>
    <t>장산처리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</si>
</sst>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#,###"/>
    <numFmt numFmtId="177" formatCode="#,###;\-#,###;#;"/>
    <numFmt numFmtId="178" formatCode="0.000"/>
    <numFmt numFmtId="179" formatCode="#,##0_ "/>
    <numFmt numFmtId="180" formatCode="\(&quot;₩&quot;#,##0\)"/>
  </numFmts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name val="돋움"/>
      <family val="3"/>
      <charset val="129"/>
    </font>
    <font>
      <b/>
      <u/>
      <sz val="24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2"/>
      <name val="굴림"/>
      <family val="3"/>
      <charset val="129"/>
    </font>
    <font>
      <b/>
      <sz val="18"/>
      <name val="굴림"/>
      <family val="3"/>
      <charset val="129"/>
    </font>
    <font>
      <sz val="1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14" fillId="0" borderId="0" applyNumberFormat="0" applyFill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4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Border="1" applyAlignment="1">
      <alignment vertical="center" wrapText="1"/>
    </xf>
    <xf numFmtId="0" fontId="3" fillId="0" borderId="4" xfId="0" quotePrefix="1" applyFont="1" applyBorder="1" applyAlignment="1">
      <alignment horizontal="center" vertical="center" wrapText="1"/>
    </xf>
    <xf numFmtId="177" fontId="6" fillId="2" borderId="4" xfId="0" applyNumberFormat="1" applyFont="1" applyFill="1" applyBorder="1" applyAlignment="1">
      <alignment vertical="center" wrapText="1"/>
    </xf>
    <xf numFmtId="176" fontId="6" fillId="0" borderId="4" xfId="0" applyNumberFormat="1" applyFont="1" applyBorder="1" applyAlignment="1">
      <alignment vertical="center" wrapText="1"/>
    </xf>
    <xf numFmtId="0" fontId="6" fillId="0" borderId="4" xfId="0" quotePrefix="1" applyFont="1" applyBorder="1" applyAlignment="1">
      <alignment vertical="center" wrapText="1"/>
    </xf>
    <xf numFmtId="0" fontId="0" fillId="3" borderId="4" xfId="0" quotePrefix="1" applyFill="1" applyBorder="1" applyAlignment="1">
      <alignment vertical="center" wrapText="1"/>
    </xf>
    <xf numFmtId="0" fontId="3" fillId="3" borderId="4" xfId="0" applyFont="1" applyFill="1" applyBorder="1" applyAlignment="1">
      <alignment vertical="center" wrapText="1"/>
    </xf>
    <xf numFmtId="176" fontId="3" fillId="3" borderId="4" xfId="0" applyNumberFormat="1" applyFont="1" applyFill="1" applyBorder="1" applyAlignment="1">
      <alignment vertical="center" wrapText="1"/>
    </xf>
    <xf numFmtId="178" fontId="0" fillId="0" borderId="0" xfId="0" applyNumberFormat="1">
      <alignment vertical="center"/>
    </xf>
    <xf numFmtId="41" fontId="4" fillId="0" borderId="0" xfId="1" applyFont="1">
      <alignment vertical="center"/>
    </xf>
    <xf numFmtId="0" fontId="10" fillId="0" borderId="8" xfId="2" applyFont="1" applyBorder="1">
      <alignment vertical="center"/>
    </xf>
    <xf numFmtId="0" fontId="10" fillId="0" borderId="0" xfId="2" applyFont="1">
      <alignment vertical="center"/>
    </xf>
    <xf numFmtId="0" fontId="10" fillId="0" borderId="9" xfId="2" applyFont="1" applyBorder="1">
      <alignment vertical="center"/>
    </xf>
    <xf numFmtId="0" fontId="11" fillId="0" borderId="8" xfId="2" applyFont="1" applyBorder="1">
      <alignment vertical="center"/>
    </xf>
    <xf numFmtId="0" fontId="11" fillId="0" borderId="0" xfId="2" applyFont="1" applyAlignment="1">
      <alignment horizontal="distributed" vertical="center" shrinkToFit="1"/>
    </xf>
    <xf numFmtId="0" fontId="11" fillId="0" borderId="0" xfId="2" applyFont="1">
      <alignment vertical="center"/>
    </xf>
    <xf numFmtId="0" fontId="11" fillId="0" borderId="9" xfId="2" applyFont="1" applyBorder="1">
      <alignment vertical="center"/>
    </xf>
    <xf numFmtId="49" fontId="11" fillId="0" borderId="0" xfId="2" applyNumberFormat="1" applyFont="1">
      <alignment vertical="center"/>
    </xf>
    <xf numFmtId="179" fontId="11" fillId="0" borderId="0" xfId="2" applyNumberFormat="1" applyFont="1">
      <alignment vertical="center"/>
    </xf>
    <xf numFmtId="180" fontId="11" fillId="0" borderId="0" xfId="2" applyNumberFormat="1" applyFont="1">
      <alignment vertical="center"/>
    </xf>
    <xf numFmtId="0" fontId="11" fillId="0" borderId="0" xfId="2" applyFont="1" applyAlignment="1">
      <alignment horizontal="right"/>
    </xf>
    <xf numFmtId="0" fontId="11" fillId="0" borderId="0" xfId="2" applyFont="1" applyAlignment="1">
      <alignment horizontal="right" vertical="center"/>
    </xf>
    <xf numFmtId="0" fontId="12" fillId="0" borderId="8" xfId="2" applyFont="1" applyBorder="1">
      <alignment vertical="center"/>
    </xf>
    <xf numFmtId="0" fontId="12" fillId="0" borderId="0" xfId="2" applyFont="1">
      <alignment vertical="center"/>
    </xf>
    <xf numFmtId="0" fontId="12" fillId="0" borderId="0" xfId="2" applyFont="1" applyAlignment="1">
      <alignment horizontal="right" vertical="center"/>
    </xf>
    <xf numFmtId="0" fontId="12" fillId="0" borderId="9" xfId="2" applyFont="1" applyBorder="1">
      <alignment vertical="center"/>
    </xf>
    <xf numFmtId="0" fontId="10" fillId="0" borderId="10" xfId="2" applyFont="1" applyBorder="1">
      <alignment vertical="center"/>
    </xf>
    <xf numFmtId="0" fontId="10" fillId="0" borderId="11" xfId="2" applyFont="1" applyBorder="1">
      <alignment vertical="center"/>
    </xf>
    <xf numFmtId="0" fontId="10" fillId="0" borderId="12" xfId="2" applyFont="1" applyBorder="1">
      <alignment vertical="center"/>
    </xf>
    <xf numFmtId="176" fontId="3" fillId="2" borderId="4" xfId="0" applyNumberFormat="1" applyFont="1" applyFill="1" applyBorder="1" applyAlignment="1">
      <alignment vertical="center" wrapText="1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176" fontId="6" fillId="3" borderId="4" xfId="0" applyNumberFormat="1" applyFont="1" applyFill="1" applyBorder="1" applyAlignment="1">
      <alignment vertical="center" wrapText="1"/>
    </xf>
    <xf numFmtId="176" fontId="13" fillId="0" borderId="4" xfId="0" applyNumberFormat="1" applyFont="1" applyBorder="1" applyAlignment="1">
      <alignment vertical="center" wrapText="1"/>
    </xf>
    <xf numFmtId="0" fontId="14" fillId="0" borderId="0" xfId="3">
      <alignment vertical="center"/>
    </xf>
    <xf numFmtId="0" fontId="0" fillId="2" borderId="4" xfId="0" quotePrefix="1" applyFill="1" applyBorder="1" applyAlignment="1">
      <alignment vertical="center" wrapText="1"/>
    </xf>
    <xf numFmtId="0" fontId="3" fillId="2" borderId="4" xfId="0" applyFont="1" applyFill="1" applyBorder="1" applyAlignment="1">
      <alignment vertical="center" wrapText="1"/>
    </xf>
    <xf numFmtId="176" fontId="6" fillId="2" borderId="4" xfId="0" applyNumberFormat="1" applyFont="1" applyFill="1" applyBorder="1" applyAlignment="1">
      <alignment vertical="center" wrapText="1"/>
    </xf>
    <xf numFmtId="0" fontId="0" fillId="2" borderId="0" xfId="0" applyFill="1">
      <alignment vertical="center"/>
    </xf>
    <xf numFmtId="0" fontId="8" fillId="0" borderId="5" xfId="2" applyFont="1" applyBorder="1" applyAlignment="1">
      <alignment horizontal="center"/>
    </xf>
    <xf numFmtId="0" fontId="8" fillId="0" borderId="6" xfId="2" applyFont="1" applyBorder="1" applyAlignment="1">
      <alignment horizontal="center"/>
    </xf>
    <xf numFmtId="0" fontId="8" fillId="0" borderId="7" xfId="2" applyFont="1" applyBorder="1" applyAlignment="1">
      <alignment horizontal="center"/>
    </xf>
    <xf numFmtId="0" fontId="8" fillId="0" borderId="8" xfId="2" applyFont="1" applyBorder="1" applyAlignment="1">
      <alignment horizontal="center"/>
    </xf>
    <xf numFmtId="0" fontId="8" fillId="0" borderId="0" xfId="2" applyFont="1" applyAlignment="1">
      <alignment horizontal="center"/>
    </xf>
    <xf numFmtId="0" fontId="8" fillId="0" borderId="9" xfId="2" applyFont="1" applyBorder="1" applyAlignment="1">
      <alignment horizontal="center"/>
    </xf>
    <xf numFmtId="0" fontId="11" fillId="0" borderId="8" xfId="2" applyFont="1" applyBorder="1" applyAlignment="1">
      <alignment horizontal="center" vertical="center"/>
    </xf>
    <xf numFmtId="0" fontId="11" fillId="0" borderId="0" xfId="2" applyFont="1" applyAlignment="1">
      <alignment horizontal="center" vertical="center"/>
    </xf>
    <xf numFmtId="0" fontId="11" fillId="0" borderId="9" xfId="2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quotePrefix="1">
      <alignment vertical="center"/>
    </xf>
    <xf numFmtId="0" fontId="0" fillId="0" borderId="0" xfId="0" applyAlignment="1">
      <alignment horizontal="right" vertical="center"/>
    </xf>
    <xf numFmtId="0" fontId="3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horizontal="distributed" vertical="center" wrapText="1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  <xf numFmtId="0" fontId="0" fillId="4" borderId="4" xfId="0" quotePrefix="1" applyFill="1" applyBorder="1">
      <alignment vertical="center"/>
    </xf>
    <xf numFmtId="0" fontId="3" fillId="4" borderId="4" xfId="0" quotePrefix="1" applyFont="1" applyFill="1" applyBorder="1" applyAlignment="1">
      <alignment vertical="center" wrapText="1"/>
    </xf>
  </cellXfs>
  <cellStyles count="4">
    <cellStyle name="쉼표 [0]" xfId="1" builtinId="6"/>
    <cellStyle name="표준" xfId="0" builtinId="0"/>
    <cellStyle name="표준 14" xfId="2" xr:uid="{78845C7E-0BA4-4ADA-8690-EFD792FD30BC}"/>
    <cellStyle name="하이퍼링크" xfId="3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0000000000000000000&#51652;&#51452;&#49884;%20&#44277;&#44277;&#52376;&#47532;&#49884;&#49444;%20&#44277;&#49324;26&#45380;\&#52265;&#44277;&#44228;\1,%202,&#44277;&#49324;&#44228;&#50557;&#50641;&#49472;&#49436;&#49885;-&#51652;&#51452;&#49884;(&#51020;&#49885;&#47932;%20&#54028;&#49604;&#49440;&#48324;&#44592;%20&#49688;&#49440;&#44277;&#49324;)051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in"/>
      <sheetName val="사용인감계"/>
      <sheetName val="공사표준계약서"/>
      <sheetName val="계약보증금납부서"/>
      <sheetName val="계약보증금지급각서"/>
      <sheetName val="1.입찰유의서 및 일반조건"/>
      <sheetName val="수의계약배제사유(앞)"/>
      <sheetName val="수의계약배제사유(뒤)"/>
      <sheetName val="제한여부확인서"/>
      <sheetName val="안전보건확보의무서약서"/>
      <sheetName val="청렴이행서약서"/>
      <sheetName val="개인정보제공및이용동의서"/>
      <sheetName val="조세포털서약서"/>
      <sheetName val="착공신고서"/>
      <sheetName val="현장대리인계"/>
      <sheetName val="재직증명서"/>
      <sheetName val="자격증사본"/>
      <sheetName val="예정공정표"/>
      <sheetName val="공사비내역서"/>
      <sheetName val="준공신고서"/>
      <sheetName val="준공검사원"/>
      <sheetName val="청구서"/>
      <sheetName val="하자보수보증금납부서"/>
      <sheetName val="하자보수보증금지급각서"/>
      <sheetName val="행정정보 공동이용 사전동의서"/>
      <sheetName val="통장사본"/>
      <sheetName val="사업자등록,건설업"/>
      <sheetName val="Sheet1"/>
    </sheetNames>
    <sheetDataSet>
      <sheetData sheetId="0">
        <row r="5">
          <cell r="H5" t="str">
            <v>진주시 재무관</v>
          </cell>
        </row>
        <row r="6">
          <cell r="C6" t="str">
            <v>㈜평원종합건설</v>
          </cell>
        </row>
        <row r="7">
          <cell r="C7" t="str">
            <v>경남 진주시 진양호로 67(판문동,1층)</v>
          </cell>
          <cell r="H7" t="str">
            <v>진주시 음식물류폐기물 공공처리시설 1처리장 고속퇴비발효기B 회전축 및 구동부 교체공사</v>
          </cell>
        </row>
        <row r="8">
          <cell r="C8" t="str">
            <v>정 도 화</v>
          </cell>
        </row>
        <row r="20">
          <cell r="H20" t="str">
            <v>진주시 내동면 유수길 75번길63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hyperlink" Target="mailto:HD13mm@25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C5CA58-6158-41FE-8282-10EAF5D10C2E}">
  <dimension ref="A1:I20"/>
  <sheetViews>
    <sheetView view="pageBreakPreview" zoomScale="115" zoomScaleNormal="100" zoomScaleSheetLayoutView="115" workbookViewId="0">
      <selection activeCell="K7" sqref="K7"/>
    </sheetView>
  </sheetViews>
  <sheetFormatPr defaultRowHeight="16.5"/>
  <cols>
    <col min="2" max="2" width="13.375" customWidth="1"/>
    <col min="3" max="5" width="17.25" customWidth="1"/>
    <col min="6" max="6" width="18.625" customWidth="1"/>
    <col min="7" max="8" width="9.25" customWidth="1"/>
  </cols>
  <sheetData>
    <row r="1" spans="1:9" ht="17.25" thickTop="1">
      <c r="A1" s="56" t="s">
        <v>148</v>
      </c>
      <c r="B1" s="57"/>
      <c r="C1" s="57"/>
      <c r="D1" s="57"/>
      <c r="E1" s="57"/>
      <c r="F1" s="57"/>
      <c r="G1" s="57"/>
      <c r="H1" s="57"/>
      <c r="I1" s="58"/>
    </row>
    <row r="2" spans="1:9" ht="26.25" customHeight="1">
      <c r="A2" s="59"/>
      <c r="B2" s="60"/>
      <c r="C2" s="60"/>
      <c r="D2" s="60"/>
      <c r="E2" s="60"/>
      <c r="F2" s="60"/>
      <c r="G2" s="60"/>
      <c r="H2" s="60"/>
      <c r="I2" s="61"/>
    </row>
    <row r="3" spans="1:9">
      <c r="A3" s="23"/>
      <c r="B3" s="24"/>
      <c r="C3" s="24"/>
      <c r="D3" s="24"/>
      <c r="E3" s="24"/>
      <c r="F3" s="24"/>
      <c r="G3" s="24"/>
      <c r="H3" s="24"/>
      <c r="I3" s="25"/>
    </row>
    <row r="4" spans="1:9">
      <c r="A4" s="23"/>
      <c r="B4" s="24"/>
      <c r="C4" s="24"/>
      <c r="D4" s="24"/>
      <c r="E4" s="24"/>
      <c r="F4" s="24"/>
      <c r="G4" s="24"/>
      <c r="H4" s="24"/>
      <c r="I4" s="25"/>
    </row>
    <row r="5" spans="1:9" ht="40.5" customHeight="1">
      <c r="A5" s="26"/>
      <c r="B5" s="27" t="s">
        <v>143</v>
      </c>
      <c r="C5" s="28" t="s">
        <v>147</v>
      </c>
      <c r="D5" s="28"/>
      <c r="E5" s="28"/>
      <c r="F5" s="28"/>
      <c r="G5" s="28"/>
      <c r="H5" s="28"/>
      <c r="I5" s="29"/>
    </row>
    <row r="6" spans="1:9" ht="40.5" customHeight="1">
      <c r="A6" s="26"/>
      <c r="B6" s="27" t="s">
        <v>144</v>
      </c>
      <c r="C6" s="28" t="s">
        <v>213</v>
      </c>
      <c r="D6" s="30"/>
      <c r="E6" s="30"/>
      <c r="F6" s="28"/>
      <c r="G6" s="28"/>
      <c r="H6" s="28"/>
      <c r="I6" s="29"/>
    </row>
    <row r="7" spans="1:9" ht="33.75" customHeight="1">
      <c r="A7" s="26"/>
      <c r="B7" s="27" t="s">
        <v>145</v>
      </c>
      <c r="C7" s="31" t="str">
        <f>"일금"&amp;NUMBERSTRING(E7,1)&amp;"원정"</f>
        <v>일금영원정</v>
      </c>
      <c r="D7" s="28"/>
      <c r="E7" s="32">
        <f>원가계산서!E31</f>
        <v>0</v>
      </c>
      <c r="G7" s="28"/>
      <c r="H7" s="28"/>
      <c r="I7" s="29"/>
    </row>
    <row r="8" spans="1:9" ht="33.75" customHeight="1">
      <c r="A8" s="26"/>
      <c r="B8" s="27"/>
      <c r="C8" s="31"/>
      <c r="D8" s="28"/>
      <c r="E8" s="28"/>
      <c r="F8" s="32"/>
      <c r="G8" s="28"/>
      <c r="H8" s="28"/>
      <c r="I8" s="29"/>
    </row>
    <row r="9" spans="1:9">
      <c r="A9" s="26"/>
      <c r="B9" s="28"/>
      <c r="C9" s="28"/>
      <c r="D9" s="28"/>
      <c r="E9" s="28"/>
      <c r="F9" s="28"/>
      <c r="G9" s="28"/>
      <c r="H9" s="28"/>
      <c r="I9" s="29"/>
    </row>
    <row r="10" spans="1:9">
      <c r="A10" s="26"/>
      <c r="B10" s="28"/>
      <c r="C10" s="28"/>
      <c r="D10" s="28"/>
      <c r="E10" s="28"/>
      <c r="F10" s="28"/>
      <c r="G10" s="28"/>
      <c r="H10" s="28"/>
      <c r="I10" s="29"/>
    </row>
    <row r="11" spans="1:9">
      <c r="A11" s="26"/>
      <c r="B11" s="28"/>
      <c r="C11" s="33" t="s">
        <v>146</v>
      </c>
      <c r="D11" s="31"/>
      <c r="E11" s="31"/>
      <c r="F11" s="31"/>
      <c r="G11" s="31"/>
      <c r="H11" s="28"/>
      <c r="I11" s="29"/>
    </row>
    <row r="12" spans="1:9" ht="26.25" customHeight="1">
      <c r="A12" s="62" t="str">
        <f ca="1">TEXT(NOW(),"yyyy") &amp; "년  " &amp; TEXT(NOW()," mm") &amp; "월       일"</f>
        <v>2026년   10월       일</v>
      </c>
      <c r="B12" s="63"/>
      <c r="C12" s="63"/>
      <c r="D12" s="63"/>
      <c r="E12" s="63"/>
      <c r="F12" s="63"/>
      <c r="G12" s="63"/>
      <c r="H12" s="63"/>
      <c r="I12" s="64"/>
    </row>
    <row r="13" spans="1:9" ht="26.25" customHeight="1">
      <c r="A13" s="26"/>
      <c r="B13" s="28"/>
      <c r="C13" s="28"/>
      <c r="D13" s="28"/>
      <c r="E13" s="28"/>
      <c r="F13" s="28"/>
      <c r="G13" s="28"/>
      <c r="H13" s="28"/>
      <c r="I13" s="29"/>
    </row>
    <row r="14" spans="1:9" ht="26.25" customHeight="1">
      <c r="A14" s="26"/>
      <c r="B14" s="28"/>
      <c r="C14" s="28"/>
      <c r="D14" s="28"/>
      <c r="E14" s="34"/>
      <c r="F14" s="28"/>
      <c r="G14" s="28"/>
      <c r="H14" s="28"/>
      <c r="I14" s="29"/>
    </row>
    <row r="15" spans="1:9" ht="26.25" customHeight="1">
      <c r="A15" s="26"/>
      <c r="B15" s="28"/>
      <c r="C15" s="28"/>
      <c r="D15" s="28"/>
      <c r="E15" s="34"/>
      <c r="F15" s="28"/>
      <c r="G15" s="28"/>
      <c r="H15" s="28"/>
      <c r="I15" s="29"/>
    </row>
    <row r="16" spans="1:9" ht="26.25" customHeight="1">
      <c r="A16" s="26"/>
      <c r="B16" s="28"/>
      <c r="C16" s="28"/>
      <c r="D16" s="28"/>
      <c r="E16" s="34"/>
      <c r="F16" s="28"/>
      <c r="G16" s="28"/>
      <c r="H16" s="28"/>
      <c r="I16" s="29"/>
    </row>
    <row r="17" spans="1:9" ht="27.75" customHeight="1">
      <c r="A17" s="26"/>
      <c r="B17" s="28"/>
      <c r="C17" s="28"/>
      <c r="D17" s="28"/>
      <c r="E17" s="28"/>
      <c r="F17" s="34"/>
      <c r="G17" s="28"/>
      <c r="H17" s="28"/>
      <c r="I17" s="29"/>
    </row>
    <row r="18" spans="1:9" ht="22.5">
      <c r="A18" s="35"/>
      <c r="B18" s="36" t="s">
        <v>149</v>
      </c>
      <c r="C18" s="36"/>
      <c r="D18" s="36"/>
      <c r="E18" s="36"/>
      <c r="F18" s="37"/>
      <c r="G18" s="36"/>
      <c r="H18" s="36"/>
      <c r="I18" s="38"/>
    </row>
    <row r="19" spans="1:9" ht="17.25" thickBot="1">
      <c r="A19" s="39"/>
      <c r="B19" s="40"/>
      <c r="C19" s="40"/>
      <c r="D19" s="40"/>
      <c r="E19" s="40"/>
      <c r="F19" s="40"/>
      <c r="G19" s="40"/>
      <c r="H19" s="40"/>
      <c r="I19" s="41"/>
    </row>
    <row r="20" spans="1:9" ht="17.25" thickTop="1"/>
  </sheetData>
  <mergeCells count="2">
    <mergeCell ref="A1:I2"/>
    <mergeCell ref="A12:I12"/>
  </mergeCells>
  <phoneticPr fontId="1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E94C82-50AF-4EC3-B0B3-2CC2DCA9BC69}">
  <sheetPr>
    <pageSetUpPr fitToPage="1"/>
  </sheetPr>
  <dimension ref="A1:G38"/>
  <sheetViews>
    <sheetView tabSelected="1" view="pageBreakPreview" topLeftCell="B1" zoomScaleNormal="100" zoomScaleSheetLayoutView="100" workbookViewId="0">
      <selection activeCell="I16" sqref="I16"/>
    </sheetView>
  </sheetViews>
  <sheetFormatPr defaultRowHeight="16.5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4.375" customWidth="1"/>
    <col min="7" max="7" width="33.125" customWidth="1"/>
  </cols>
  <sheetData>
    <row r="1" spans="1:7" ht="24" customHeight="1">
      <c r="B1" s="65" t="s">
        <v>15</v>
      </c>
      <c r="C1" s="65"/>
      <c r="D1" s="65"/>
      <c r="E1" s="65"/>
      <c r="F1" s="65"/>
      <c r="G1" s="65"/>
    </row>
    <row r="2" spans="1:7" ht="21.95" customHeight="1">
      <c r="B2" s="66" t="s">
        <v>150</v>
      </c>
      <c r="C2" s="66"/>
      <c r="D2" s="66"/>
      <c r="E2" s="66"/>
      <c r="F2" s="67"/>
      <c r="G2" s="67"/>
    </row>
    <row r="3" spans="1:7" ht="21.95" customHeight="1">
      <c r="B3" s="68" t="s">
        <v>16</v>
      </c>
      <c r="C3" s="68"/>
      <c r="D3" s="68"/>
      <c r="E3" s="14" t="s">
        <v>17</v>
      </c>
      <c r="F3" s="14" t="s">
        <v>18</v>
      </c>
      <c r="G3" s="14" t="s">
        <v>19</v>
      </c>
    </row>
    <row r="4" spans="1:7" ht="21.95" customHeight="1">
      <c r="A4" s="1" t="s">
        <v>24</v>
      </c>
      <c r="B4" s="69" t="s">
        <v>20</v>
      </c>
      <c r="C4" s="69" t="s">
        <v>21</v>
      </c>
      <c r="D4" s="14" t="s">
        <v>25</v>
      </c>
      <c r="E4" s="12">
        <f>공종별집계표!F5</f>
        <v>0</v>
      </c>
      <c r="F4" s="10" t="s">
        <v>12</v>
      </c>
      <c r="G4" s="10" t="s">
        <v>12</v>
      </c>
    </row>
    <row r="5" spans="1:7" ht="21.95" customHeight="1">
      <c r="A5" s="1" t="s">
        <v>26</v>
      </c>
      <c r="B5" s="69"/>
      <c r="C5" s="69"/>
      <c r="D5" s="14" t="s">
        <v>27</v>
      </c>
      <c r="E5" s="12">
        <v>0</v>
      </c>
      <c r="F5" s="10" t="s">
        <v>12</v>
      </c>
      <c r="G5" s="10" t="s">
        <v>12</v>
      </c>
    </row>
    <row r="6" spans="1:7" ht="21.95" customHeight="1">
      <c r="A6" s="1" t="s">
        <v>28</v>
      </c>
      <c r="B6" s="69"/>
      <c r="C6" s="69"/>
      <c r="D6" s="14" t="s">
        <v>29</v>
      </c>
      <c r="E6" s="12">
        <v>0</v>
      </c>
      <c r="F6" s="10" t="s">
        <v>12</v>
      </c>
      <c r="G6" s="10" t="s">
        <v>12</v>
      </c>
    </row>
    <row r="7" spans="1:7" ht="21.95" customHeight="1">
      <c r="A7" s="1" t="s">
        <v>30</v>
      </c>
      <c r="B7" s="69"/>
      <c r="C7" s="69"/>
      <c r="D7" s="14" t="s">
        <v>31</v>
      </c>
      <c r="E7" s="12">
        <f>TRUNC(E4+E5-E6, 0)</f>
        <v>0</v>
      </c>
      <c r="F7" s="10" t="s">
        <v>12</v>
      </c>
      <c r="G7" s="10" t="s">
        <v>12</v>
      </c>
    </row>
    <row r="8" spans="1:7" ht="21.95" customHeight="1">
      <c r="A8" s="1" t="s">
        <v>32</v>
      </c>
      <c r="B8" s="69"/>
      <c r="C8" s="69" t="s">
        <v>22</v>
      </c>
      <c r="D8" s="14" t="s">
        <v>33</v>
      </c>
      <c r="E8" s="12">
        <f>공종별집계표!H5</f>
        <v>0</v>
      </c>
      <c r="F8" s="10" t="s">
        <v>12</v>
      </c>
      <c r="G8" s="10" t="s">
        <v>12</v>
      </c>
    </row>
    <row r="9" spans="1:7" ht="21.95" customHeight="1">
      <c r="A9" s="1" t="s">
        <v>34</v>
      </c>
      <c r="B9" s="69"/>
      <c r="C9" s="69"/>
      <c r="D9" s="14" t="s">
        <v>35</v>
      </c>
      <c r="E9" s="12">
        <f>TRUNC(E8*0.113, 0)</f>
        <v>0</v>
      </c>
      <c r="F9" s="10" t="s">
        <v>209</v>
      </c>
      <c r="G9" s="10" t="s">
        <v>12</v>
      </c>
    </row>
    <row r="10" spans="1:7" ht="21.95" customHeight="1">
      <c r="A10" s="1" t="s">
        <v>36</v>
      </c>
      <c r="B10" s="69"/>
      <c r="C10" s="69"/>
      <c r="D10" s="14" t="s">
        <v>31</v>
      </c>
      <c r="E10" s="12">
        <f>TRUNC(E8+E9, 0)</f>
        <v>0</v>
      </c>
      <c r="F10" s="10" t="s">
        <v>12</v>
      </c>
      <c r="G10" s="10" t="s">
        <v>12</v>
      </c>
    </row>
    <row r="11" spans="1:7" ht="21.95" customHeight="1">
      <c r="A11" s="1" t="s">
        <v>37</v>
      </c>
      <c r="B11" s="69"/>
      <c r="C11" s="69" t="s">
        <v>23</v>
      </c>
      <c r="D11" s="14" t="s">
        <v>38</v>
      </c>
      <c r="E11" s="12">
        <f>공종별집계표!J5</f>
        <v>0</v>
      </c>
      <c r="F11" s="10" t="s">
        <v>12</v>
      </c>
      <c r="G11" s="10" t="s">
        <v>12</v>
      </c>
    </row>
    <row r="12" spans="1:7" ht="21.95" customHeight="1">
      <c r="A12" s="1" t="s">
        <v>39</v>
      </c>
      <c r="B12" s="69"/>
      <c r="C12" s="69"/>
      <c r="D12" s="14" t="s">
        <v>40</v>
      </c>
      <c r="E12" s="12">
        <f>TRUNC(E10*0.0356, 0)</f>
        <v>0</v>
      </c>
      <c r="F12" s="10" t="s">
        <v>41</v>
      </c>
      <c r="G12" s="10" t="s">
        <v>12</v>
      </c>
    </row>
    <row r="13" spans="1:7" ht="21.95" customHeight="1">
      <c r="A13" s="1" t="s">
        <v>42</v>
      </c>
      <c r="B13" s="69"/>
      <c r="C13" s="69"/>
      <c r="D13" s="14" t="s">
        <v>43</v>
      </c>
      <c r="E13" s="12">
        <f>TRUNC(E10*0.0101, 0)</f>
        <v>0</v>
      </c>
      <c r="F13" s="10" t="s">
        <v>44</v>
      </c>
      <c r="G13" s="10" t="s">
        <v>12</v>
      </c>
    </row>
    <row r="14" spans="1:7" ht="21.95" customHeight="1">
      <c r="A14" s="1" t="s">
        <v>45</v>
      </c>
      <c r="B14" s="69"/>
      <c r="C14" s="69"/>
      <c r="D14" s="14" t="s">
        <v>46</v>
      </c>
      <c r="E14" s="42"/>
      <c r="F14" s="10"/>
      <c r="G14" s="72" t="s">
        <v>240</v>
      </c>
    </row>
    <row r="15" spans="1:7" ht="21.95" customHeight="1">
      <c r="A15" s="1" t="s">
        <v>47</v>
      </c>
      <c r="B15" s="69"/>
      <c r="C15" s="69"/>
      <c r="D15" s="14" t="s">
        <v>48</v>
      </c>
      <c r="E15" s="42"/>
      <c r="F15" s="10"/>
      <c r="G15" s="72" t="s">
        <v>240</v>
      </c>
    </row>
    <row r="16" spans="1:7" ht="21.95" customHeight="1">
      <c r="A16" s="1" t="s">
        <v>49</v>
      </c>
      <c r="B16" s="69"/>
      <c r="C16" s="69"/>
      <c r="D16" s="14" t="s">
        <v>50</v>
      </c>
      <c r="E16" s="42"/>
      <c r="F16" s="10"/>
      <c r="G16" s="72" t="s">
        <v>241</v>
      </c>
    </row>
    <row r="17" spans="1:7" ht="21.95" customHeight="1">
      <c r="A17" s="1" t="s">
        <v>51</v>
      </c>
      <c r="B17" s="69"/>
      <c r="C17" s="69"/>
      <c r="D17" s="14" t="s">
        <v>52</v>
      </c>
      <c r="E17" s="12">
        <f>TRUNC((E7+E8)*0.0311, 0)</f>
        <v>0</v>
      </c>
      <c r="F17" s="10" t="s">
        <v>53</v>
      </c>
      <c r="G17" s="72" t="s">
        <v>240</v>
      </c>
    </row>
    <row r="18" spans="1:7" ht="21.95" customHeight="1">
      <c r="A18" s="1" t="s">
        <v>54</v>
      </c>
      <c r="B18" s="69"/>
      <c r="C18" s="69"/>
      <c r="D18" s="14" t="s">
        <v>55</v>
      </c>
      <c r="E18" s="12"/>
      <c r="F18" s="10"/>
      <c r="G18" s="10" t="s">
        <v>12</v>
      </c>
    </row>
    <row r="19" spans="1:7" ht="21.95" customHeight="1">
      <c r="A19" s="1" t="s">
        <v>56</v>
      </c>
      <c r="B19" s="69"/>
      <c r="C19" s="69"/>
      <c r="D19" s="14" t="s">
        <v>57</v>
      </c>
      <c r="E19" s="12"/>
      <c r="F19" s="10"/>
      <c r="G19" s="10" t="s">
        <v>12</v>
      </c>
    </row>
    <row r="20" spans="1:7" ht="21.95" customHeight="1">
      <c r="A20" s="1" t="s">
        <v>58</v>
      </c>
      <c r="B20" s="69"/>
      <c r="C20" s="69"/>
      <c r="D20" s="14" t="s">
        <v>59</v>
      </c>
      <c r="E20" s="12">
        <f>TRUNC((E7+E10)*0.05, 0)</f>
        <v>0</v>
      </c>
      <c r="F20" s="10" t="s">
        <v>60</v>
      </c>
      <c r="G20" s="10" t="s">
        <v>12</v>
      </c>
    </row>
    <row r="21" spans="1:7" ht="21.95" customHeight="1">
      <c r="A21" s="1" t="s">
        <v>61</v>
      </c>
      <c r="B21" s="69"/>
      <c r="C21" s="69"/>
      <c r="D21" s="14" t="s">
        <v>62</v>
      </c>
      <c r="E21" s="12">
        <f>TRUNC((E7+E8+E11)*0.003, 0)</f>
        <v>0</v>
      </c>
      <c r="F21" s="10" t="s">
        <v>63</v>
      </c>
      <c r="G21" s="73" t="s">
        <v>240</v>
      </c>
    </row>
    <row r="22" spans="1:7" ht="21.95" customHeight="1">
      <c r="A22" s="1" t="s">
        <v>64</v>
      </c>
      <c r="B22" s="69"/>
      <c r="C22" s="69"/>
      <c r="D22" s="14" t="s">
        <v>65</v>
      </c>
      <c r="E22" s="12">
        <f>TRUNC((E7+E8+E11)*0.0032, 0)</f>
        <v>0</v>
      </c>
      <c r="F22" s="10" t="s">
        <v>210</v>
      </c>
      <c r="G22" s="73" t="s">
        <v>240</v>
      </c>
    </row>
    <row r="23" spans="1:7" ht="21.95" customHeight="1">
      <c r="A23" s="1" t="s">
        <v>66</v>
      </c>
      <c r="B23" s="69"/>
      <c r="C23" s="69"/>
      <c r="D23" s="14" t="s">
        <v>31</v>
      </c>
      <c r="E23" s="12">
        <f>TRUNC(E11+E12+E13+E14+E15+E17+E16+E19+E18+E20+E21+E22, 0)</f>
        <v>0</v>
      </c>
      <c r="F23" s="10" t="s">
        <v>12</v>
      </c>
      <c r="G23" s="10" t="s">
        <v>12</v>
      </c>
    </row>
    <row r="24" spans="1:7" ht="21.95" customHeight="1">
      <c r="A24" s="1" t="s">
        <v>67</v>
      </c>
      <c r="B24" s="68" t="s">
        <v>68</v>
      </c>
      <c r="C24" s="68"/>
      <c r="D24" s="68"/>
      <c r="E24" s="12">
        <f>TRUNC(E7+E10+E23, 0)</f>
        <v>0</v>
      </c>
      <c r="F24" s="10" t="s">
        <v>12</v>
      </c>
      <c r="G24" s="10" t="s">
        <v>12</v>
      </c>
    </row>
    <row r="25" spans="1:7" ht="21.95" customHeight="1">
      <c r="A25" s="1" t="s">
        <v>69</v>
      </c>
      <c r="B25" s="68" t="s">
        <v>70</v>
      </c>
      <c r="C25" s="68"/>
      <c r="D25" s="68"/>
      <c r="E25" s="12">
        <f>TRUNC(E24*0.08, 0)</f>
        <v>0</v>
      </c>
      <c r="F25" s="10" t="s">
        <v>71</v>
      </c>
      <c r="G25" s="10" t="s">
        <v>12</v>
      </c>
    </row>
    <row r="26" spans="1:7" ht="21.95" customHeight="1">
      <c r="A26" s="1" t="s">
        <v>72</v>
      </c>
      <c r="B26" s="68" t="s">
        <v>73</v>
      </c>
      <c r="C26" s="68"/>
      <c r="D26" s="68"/>
      <c r="E26" s="12">
        <f>TRUNC((E10+E23+E25)*0.1, 0)</f>
        <v>0</v>
      </c>
      <c r="F26" s="10" t="s">
        <v>207</v>
      </c>
      <c r="G26" s="10" t="s">
        <v>12</v>
      </c>
    </row>
    <row r="27" spans="1:7" ht="21.95" customHeight="1">
      <c r="A27" s="1" t="s">
        <v>74</v>
      </c>
      <c r="B27" s="68" t="s">
        <v>75</v>
      </c>
      <c r="C27" s="68"/>
      <c r="D27" s="68"/>
      <c r="E27" s="12"/>
      <c r="F27" s="10" t="s">
        <v>12</v>
      </c>
      <c r="G27" s="10" t="s">
        <v>12</v>
      </c>
    </row>
    <row r="28" spans="1:7" ht="21.95" customHeight="1">
      <c r="A28" s="1" t="s">
        <v>76</v>
      </c>
      <c r="B28" s="68" t="s">
        <v>77</v>
      </c>
      <c r="C28" s="68"/>
      <c r="D28" s="68"/>
      <c r="E28" s="12"/>
      <c r="F28" s="10" t="s">
        <v>12</v>
      </c>
      <c r="G28" s="10" t="s">
        <v>12</v>
      </c>
    </row>
    <row r="29" spans="1:7" ht="21.95" customHeight="1">
      <c r="A29" s="1" t="s">
        <v>78</v>
      </c>
      <c r="B29" s="68" t="s">
        <v>79</v>
      </c>
      <c r="C29" s="68"/>
      <c r="D29" s="68"/>
      <c r="E29" s="12">
        <f>TRUNC((E24+E25+E26+E27+E28))</f>
        <v>0</v>
      </c>
      <c r="F29" s="10" t="s">
        <v>12</v>
      </c>
      <c r="G29" s="10" t="s">
        <v>12</v>
      </c>
    </row>
    <row r="30" spans="1:7" ht="21.95" customHeight="1">
      <c r="A30" s="1" t="s">
        <v>80</v>
      </c>
      <c r="B30" s="68" t="s">
        <v>81</v>
      </c>
      <c r="C30" s="68"/>
      <c r="D30" s="68"/>
      <c r="E30" s="12">
        <f>TRUNC(E29*0.1, 0)</f>
        <v>0</v>
      </c>
      <c r="F30" s="10" t="s">
        <v>82</v>
      </c>
      <c r="G30" s="10" t="s">
        <v>12</v>
      </c>
    </row>
    <row r="31" spans="1:7" ht="21.95" customHeight="1">
      <c r="A31" s="1" t="s">
        <v>83</v>
      </c>
      <c r="B31" s="68" t="s">
        <v>84</v>
      </c>
      <c r="C31" s="68"/>
      <c r="D31" s="68"/>
      <c r="E31" s="12">
        <f>TRUNC(E29+E30, 0)</f>
        <v>0</v>
      </c>
      <c r="F31" s="10" t="s">
        <v>12</v>
      </c>
      <c r="G31" s="10" t="s">
        <v>12</v>
      </c>
    </row>
    <row r="32" spans="1:7" ht="21.95" customHeight="1">
      <c r="A32" s="1" t="s">
        <v>85</v>
      </c>
      <c r="B32" s="68" t="s">
        <v>86</v>
      </c>
      <c r="C32" s="68"/>
      <c r="D32" s="68"/>
      <c r="E32" s="12">
        <f>TRUNC(E31+0, 0)</f>
        <v>0</v>
      </c>
      <c r="F32" s="10" t="s">
        <v>12</v>
      </c>
      <c r="G32" s="10" t="s">
        <v>12</v>
      </c>
    </row>
    <row r="36" spans="5:7">
      <c r="F36" s="8"/>
    </row>
    <row r="38" spans="5:7">
      <c r="E38" s="22"/>
      <c r="G38" s="21"/>
    </row>
  </sheetData>
  <mergeCells count="17">
    <mergeCell ref="B30:D30"/>
    <mergeCell ref="B31:D31"/>
    <mergeCell ref="B32:D32"/>
    <mergeCell ref="B24:D24"/>
    <mergeCell ref="B25:D25"/>
    <mergeCell ref="B26:D26"/>
    <mergeCell ref="B27:D27"/>
    <mergeCell ref="B28:D28"/>
    <mergeCell ref="B29:D29"/>
    <mergeCell ref="B1:G1"/>
    <mergeCell ref="B2:E2"/>
    <mergeCell ref="F2:G2"/>
    <mergeCell ref="B3:D3"/>
    <mergeCell ref="B4:B23"/>
    <mergeCell ref="C4:C7"/>
    <mergeCell ref="C8:C10"/>
    <mergeCell ref="C11:C23"/>
  </mergeCells>
  <phoneticPr fontId="1" type="noConversion"/>
  <pageMargins left="0.78740157480314954" right="0" top="0.39370078740157477" bottom="0.39370078740157477" header="0" footer="0"/>
  <pageSetup paperSize="9" scale="75" fitToHeight="0" orientation="landscape" r:id="rId1"/>
  <rowBreaks count="1" manualBreakCount="1">
    <brk id="32" max="6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6171BD-3964-4742-BAB5-A5B1EF2E0AC0}">
  <sheetPr>
    <pageSetUpPr fitToPage="1"/>
  </sheetPr>
  <dimension ref="A1:Q27"/>
  <sheetViews>
    <sheetView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Q11" sqref="Q11"/>
    </sheetView>
  </sheetViews>
  <sheetFormatPr defaultRowHeight="16.5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</cols>
  <sheetData>
    <row r="1" spans="1:13" ht="30" customHeight="1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30" customHeight="1">
      <c r="A2" s="4" t="str">
        <f>원가계산서!B2</f>
        <v>공사명 : 이현웰가 외부 보수공사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13" ht="30" customHeight="1">
      <c r="A3" s="70" t="s">
        <v>1</v>
      </c>
      <c r="B3" s="70" t="s">
        <v>2</v>
      </c>
      <c r="C3" s="70" t="s">
        <v>3</v>
      </c>
      <c r="D3" s="70" t="s">
        <v>4</v>
      </c>
      <c r="E3" s="70" t="s">
        <v>5</v>
      </c>
      <c r="F3" s="70"/>
      <c r="G3" s="70" t="s">
        <v>8</v>
      </c>
      <c r="H3" s="70"/>
      <c r="I3" s="70" t="s">
        <v>9</v>
      </c>
      <c r="J3" s="70"/>
      <c r="K3" s="70" t="s">
        <v>10</v>
      </c>
      <c r="L3" s="70"/>
      <c r="M3" s="70" t="s">
        <v>11</v>
      </c>
    </row>
    <row r="4" spans="1:13" ht="30" customHeight="1">
      <c r="A4" s="71"/>
      <c r="B4" s="71"/>
      <c r="C4" s="71"/>
      <c r="D4" s="71"/>
      <c r="E4" s="9" t="s">
        <v>6</v>
      </c>
      <c r="F4" s="9" t="s">
        <v>7</v>
      </c>
      <c r="G4" s="9" t="s">
        <v>6</v>
      </c>
      <c r="H4" s="9" t="s">
        <v>7</v>
      </c>
      <c r="I4" s="9" t="s">
        <v>6</v>
      </c>
      <c r="J4" s="9" t="s">
        <v>7</v>
      </c>
      <c r="K4" s="9" t="s">
        <v>6</v>
      </c>
      <c r="L4" s="9" t="s">
        <v>7</v>
      </c>
      <c r="M4" s="71"/>
    </row>
    <row r="5" spans="1:13" ht="30" customHeight="1">
      <c r="A5" s="10" t="s">
        <v>206</v>
      </c>
      <c r="B5" s="10" t="s">
        <v>12</v>
      </c>
      <c r="C5" s="10" t="s">
        <v>12</v>
      </c>
      <c r="D5" s="11">
        <v>1</v>
      </c>
      <c r="E5" s="12">
        <f>F6+F7+F8</f>
        <v>0</v>
      </c>
      <c r="F5" s="12">
        <f t="shared" ref="F5:F8" si="0">E5*D5</f>
        <v>0</v>
      </c>
      <c r="G5" s="12">
        <f>H6+H7+H8</f>
        <v>0</v>
      </c>
      <c r="H5" s="12">
        <f t="shared" ref="H5:H8" si="1">G5*D5</f>
        <v>0</v>
      </c>
      <c r="I5" s="12">
        <f>J6+J7+J8</f>
        <v>0</v>
      </c>
      <c r="J5" s="12">
        <f t="shared" ref="J5:J8" si="2">I5*D5</f>
        <v>0</v>
      </c>
      <c r="K5" s="12">
        <f t="shared" ref="K5:K8" si="3">E5+G5+I5</f>
        <v>0</v>
      </c>
      <c r="L5" s="12">
        <f t="shared" ref="L5:L8" si="4">F5+H5+J5</f>
        <v>0</v>
      </c>
      <c r="M5" s="10" t="s">
        <v>12</v>
      </c>
    </row>
    <row r="6" spans="1:13" ht="30" customHeight="1">
      <c r="A6" s="10" t="str">
        <f>'공종별내역서 (2)'!A4</f>
        <v>게스트하우스 (7.5*4.5)</v>
      </c>
      <c r="B6" s="10" t="s">
        <v>12</v>
      </c>
      <c r="C6" s="10" t="s">
        <v>12</v>
      </c>
      <c r="D6" s="11">
        <v>1</v>
      </c>
      <c r="E6" s="12">
        <f>'공종별내역서 (2)'!F14</f>
        <v>0</v>
      </c>
      <c r="F6" s="12">
        <f t="shared" si="0"/>
        <v>0</v>
      </c>
      <c r="G6" s="12">
        <f>'공종별내역서 (2)'!H14</f>
        <v>0</v>
      </c>
      <c r="H6" s="12">
        <f t="shared" si="1"/>
        <v>0</v>
      </c>
      <c r="I6" s="12">
        <f>'공종별내역서 (2)'!J14</f>
        <v>0</v>
      </c>
      <c r="J6" s="12">
        <f t="shared" si="2"/>
        <v>0</v>
      </c>
      <c r="K6" s="12">
        <f t="shared" si="3"/>
        <v>0</v>
      </c>
      <c r="L6" s="12">
        <f t="shared" si="4"/>
        <v>0</v>
      </c>
      <c r="M6" s="10" t="s">
        <v>12</v>
      </c>
    </row>
    <row r="7" spans="1:13" ht="30" customHeight="1">
      <c r="A7" s="10" t="str">
        <f>'공종별내역서 (2)'!A15</f>
        <v>농구장(13.8*13.8)</v>
      </c>
      <c r="B7" s="10" t="s">
        <v>12</v>
      </c>
      <c r="C7" s="10" t="s">
        <v>12</v>
      </c>
      <c r="D7" s="11">
        <v>1</v>
      </c>
      <c r="E7" s="12">
        <f>'공종별내역서 (2)'!F28</f>
        <v>0</v>
      </c>
      <c r="F7" s="12">
        <f t="shared" si="0"/>
        <v>0</v>
      </c>
      <c r="G7" s="12">
        <f>'공종별내역서 (2)'!H28</f>
        <v>0</v>
      </c>
      <c r="H7" s="12">
        <f t="shared" si="1"/>
        <v>0</v>
      </c>
      <c r="I7" s="12">
        <f>'공종별내역서 (2)'!J28</f>
        <v>0</v>
      </c>
      <c r="J7" s="12">
        <f t="shared" si="2"/>
        <v>0</v>
      </c>
      <c r="K7" s="12">
        <f t="shared" si="3"/>
        <v>0</v>
      </c>
      <c r="L7" s="12">
        <f t="shared" si="4"/>
        <v>0</v>
      </c>
      <c r="M7" s="10" t="s">
        <v>12</v>
      </c>
    </row>
    <row r="8" spans="1:13" ht="30" customHeight="1">
      <c r="A8" s="10" t="str">
        <f>'공종별내역서 (2)'!A30</f>
        <v>외부 경사로(2*3.5)</v>
      </c>
      <c r="B8" s="10" t="s">
        <v>12</v>
      </c>
      <c r="C8" s="10" t="s">
        <v>12</v>
      </c>
      <c r="D8" s="11">
        <v>1</v>
      </c>
      <c r="E8" s="12">
        <f>'공종별내역서 (2)'!F44</f>
        <v>0</v>
      </c>
      <c r="F8" s="12">
        <f t="shared" si="0"/>
        <v>0</v>
      </c>
      <c r="G8" s="12">
        <f>'공종별내역서 (2)'!H44</f>
        <v>0</v>
      </c>
      <c r="H8" s="12">
        <f t="shared" si="1"/>
        <v>0</v>
      </c>
      <c r="I8" s="12">
        <f>'공종별내역서 (2)'!J44</f>
        <v>0</v>
      </c>
      <c r="J8" s="12">
        <f t="shared" si="2"/>
        <v>0</v>
      </c>
      <c r="K8" s="12">
        <f t="shared" si="3"/>
        <v>0</v>
      </c>
      <c r="L8" s="12">
        <f t="shared" si="4"/>
        <v>0</v>
      </c>
      <c r="M8" s="10" t="s">
        <v>12</v>
      </c>
    </row>
    <row r="9" spans="1:13" ht="30" customHeight="1">
      <c r="A9" s="10"/>
      <c r="B9" s="10"/>
      <c r="C9" s="10"/>
      <c r="D9" s="11"/>
      <c r="E9" s="12"/>
      <c r="F9" s="12"/>
      <c r="G9" s="12"/>
      <c r="H9" s="12"/>
      <c r="I9" s="12"/>
      <c r="J9" s="12"/>
      <c r="K9" s="12"/>
      <c r="L9" s="12"/>
      <c r="M9" s="10"/>
    </row>
    <row r="10" spans="1:13" ht="30" customHeight="1">
      <c r="A10" s="10"/>
      <c r="B10" s="10"/>
      <c r="C10" s="10"/>
      <c r="D10" s="11"/>
      <c r="E10" s="12"/>
      <c r="F10" s="12"/>
      <c r="G10" s="12"/>
      <c r="H10" s="12"/>
      <c r="I10" s="12"/>
      <c r="J10" s="12"/>
      <c r="K10" s="12"/>
      <c r="L10" s="12"/>
      <c r="M10" s="10"/>
    </row>
    <row r="11" spans="1:13" ht="30" customHeight="1">
      <c r="A11" s="10"/>
      <c r="B11" s="10"/>
      <c r="C11" s="10"/>
      <c r="D11" s="11"/>
      <c r="E11" s="12"/>
      <c r="F11" s="12"/>
      <c r="G11" s="12"/>
      <c r="H11" s="12"/>
      <c r="I11" s="12"/>
      <c r="J11" s="12"/>
      <c r="K11" s="12"/>
      <c r="L11" s="12"/>
      <c r="M11" s="10"/>
    </row>
    <row r="12" spans="1:13" ht="30" customHeight="1">
      <c r="A12" s="10"/>
      <c r="B12" s="10"/>
      <c r="C12" s="10"/>
      <c r="D12" s="11"/>
      <c r="E12" s="12"/>
      <c r="F12" s="12"/>
      <c r="G12" s="12"/>
      <c r="H12" s="12"/>
      <c r="I12" s="12"/>
      <c r="J12" s="12"/>
      <c r="K12" s="12"/>
      <c r="L12" s="12"/>
      <c r="M12" s="10"/>
    </row>
    <row r="13" spans="1:13" ht="30" customHeight="1">
      <c r="A13" s="10"/>
      <c r="B13" s="10"/>
      <c r="C13" s="10"/>
      <c r="D13" s="11"/>
      <c r="E13" s="12"/>
      <c r="F13" s="12"/>
      <c r="G13" s="12"/>
      <c r="H13" s="12"/>
      <c r="I13" s="12"/>
      <c r="J13" s="12"/>
      <c r="K13" s="12"/>
      <c r="L13" s="12"/>
      <c r="M13" s="10"/>
    </row>
    <row r="14" spans="1:13" ht="30" customHeight="1">
      <c r="A14" s="10"/>
      <c r="B14" s="10"/>
      <c r="C14" s="10"/>
      <c r="D14" s="11"/>
      <c r="E14" s="12"/>
      <c r="F14" s="12"/>
      <c r="G14" s="12"/>
      <c r="H14" s="12"/>
      <c r="I14" s="12"/>
      <c r="J14" s="12"/>
      <c r="K14" s="12"/>
      <c r="L14" s="12"/>
      <c r="M14" s="10"/>
    </row>
    <row r="15" spans="1:13" ht="30" customHeight="1">
      <c r="A15" s="10"/>
      <c r="B15" s="10"/>
      <c r="C15" s="10"/>
      <c r="D15" s="11"/>
      <c r="E15" s="12"/>
      <c r="F15" s="12"/>
      <c r="G15" s="12"/>
      <c r="H15" s="12"/>
      <c r="I15" s="12"/>
      <c r="J15" s="12"/>
      <c r="K15" s="12"/>
      <c r="L15" s="12"/>
      <c r="M15" s="10"/>
    </row>
    <row r="16" spans="1:13" ht="30" customHeight="1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</row>
    <row r="17" spans="1:17" ht="30" customHeight="1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1:17" ht="30" customHeight="1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</row>
    <row r="19" spans="1:17" ht="30" customHeight="1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</row>
    <row r="20" spans="1:17" ht="30" customHeight="1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spans="1:17" ht="30" customHeight="1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</row>
    <row r="22" spans="1:17" ht="30" customHeight="1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</row>
    <row r="23" spans="1:17" ht="30" customHeight="1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</row>
    <row r="24" spans="1:17" ht="30" customHeight="1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</row>
    <row r="25" spans="1:17" ht="30" customHeight="1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</row>
    <row r="26" spans="1:17" ht="30" customHeight="1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</row>
    <row r="27" spans="1:17" ht="30" customHeight="1">
      <c r="A27" s="10" t="s">
        <v>14</v>
      </c>
      <c r="B27" s="11"/>
      <c r="C27" s="11"/>
      <c r="D27" s="11"/>
      <c r="E27" s="11"/>
      <c r="F27" s="12">
        <f>F5</f>
        <v>0</v>
      </c>
      <c r="G27" s="11"/>
      <c r="H27" s="12">
        <f>H5</f>
        <v>0</v>
      </c>
      <c r="I27" s="11"/>
      <c r="J27" s="12">
        <f>J5</f>
        <v>0</v>
      </c>
      <c r="K27" s="11"/>
      <c r="L27" s="12">
        <f>L5</f>
        <v>0</v>
      </c>
      <c r="M27" s="11"/>
      <c r="O27">
        <v>608729</v>
      </c>
      <c r="Q27">
        <v>34882782</v>
      </c>
    </row>
  </sheetData>
  <mergeCells count="9">
    <mergeCell ref="I3:J3"/>
    <mergeCell ref="K3:L3"/>
    <mergeCell ref="M3:M4"/>
    <mergeCell ref="G3:H3"/>
    <mergeCell ref="A3:A4"/>
    <mergeCell ref="B3:B4"/>
    <mergeCell ref="C3:C4"/>
    <mergeCell ref="D3:D4"/>
    <mergeCell ref="E3:F3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61698F-B39F-4E3B-8AF8-F4759FA3F7B2}">
  <sheetPr>
    <pageSetUpPr fitToPage="1"/>
  </sheetPr>
  <dimension ref="A1:M44"/>
  <sheetViews>
    <sheetView zoomScale="85" zoomScaleNormal="85"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F8" sqref="F8"/>
    </sheetView>
  </sheetViews>
  <sheetFormatPr defaultRowHeight="16.5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</cols>
  <sheetData>
    <row r="1" spans="1:13" ht="30" customHeight="1">
      <c r="A1" s="4" t="str">
        <f>공종별집계표!A2</f>
        <v>공사명 : 이현웰가 외부 보수공사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13" ht="30" customHeight="1">
      <c r="A2" s="70" t="s">
        <v>1</v>
      </c>
      <c r="B2" s="70" t="s">
        <v>2</v>
      </c>
      <c r="C2" s="70" t="s">
        <v>3</v>
      </c>
      <c r="D2" s="70" t="s">
        <v>4</v>
      </c>
      <c r="E2" s="70" t="s">
        <v>5</v>
      </c>
      <c r="F2" s="70"/>
      <c r="G2" s="70" t="s">
        <v>8</v>
      </c>
      <c r="H2" s="70"/>
      <c r="I2" s="70" t="s">
        <v>9</v>
      </c>
      <c r="J2" s="70"/>
      <c r="K2" s="70" t="s">
        <v>10</v>
      </c>
      <c r="L2" s="70"/>
      <c r="M2" s="70" t="s">
        <v>11</v>
      </c>
    </row>
    <row r="3" spans="1:13" ht="30" customHeight="1">
      <c r="A3" s="70"/>
      <c r="B3" s="70"/>
      <c r="C3" s="70"/>
      <c r="D3" s="70"/>
      <c r="E3" s="7" t="s">
        <v>6</v>
      </c>
      <c r="F3" s="7" t="s">
        <v>7</v>
      </c>
      <c r="G3" s="7" t="s">
        <v>6</v>
      </c>
      <c r="H3" s="7" t="s">
        <v>7</v>
      </c>
      <c r="I3" s="7" t="s">
        <v>6</v>
      </c>
      <c r="J3" s="7" t="s">
        <v>7</v>
      </c>
      <c r="K3" s="7" t="s">
        <v>6</v>
      </c>
      <c r="L3" s="7" t="s">
        <v>7</v>
      </c>
      <c r="M3" s="70"/>
    </row>
    <row r="4" spans="1:13" ht="30" customHeight="1">
      <c r="A4" s="13" t="str">
        <f>산출서!A2</f>
        <v>게스트하우스 (7.5*4.5)</v>
      </c>
      <c r="B4" s="13" t="s">
        <v>12</v>
      </c>
      <c r="C4" s="11"/>
      <c r="D4" s="11"/>
      <c r="E4" s="12"/>
      <c r="F4" s="12"/>
      <c r="G4" s="12"/>
      <c r="H4" s="12"/>
      <c r="I4" s="12"/>
      <c r="J4" s="12"/>
      <c r="K4" s="12"/>
      <c r="L4" s="12"/>
      <c r="M4" s="11"/>
    </row>
    <row r="5" spans="1:13" ht="30" customHeight="1">
      <c r="A5" s="13" t="str">
        <f>산출서!A4</f>
        <v>터파기</v>
      </c>
      <c r="B5" s="13" t="str">
        <f>산출서!B4</f>
        <v>보통토사</v>
      </c>
      <c r="C5" s="13" t="str">
        <f>산출서!C4</f>
        <v>m3</v>
      </c>
      <c r="D5" s="11">
        <v>5.0625</v>
      </c>
      <c r="E5" s="15"/>
      <c r="F5" s="16">
        <f>TRUNC(E5*D5, 0)</f>
        <v>0</v>
      </c>
      <c r="G5" s="15"/>
      <c r="H5" s="16">
        <f>TRUNC(G5*D5, 0)</f>
        <v>0</v>
      </c>
      <c r="I5" s="15"/>
      <c r="J5" s="16">
        <f>TRUNC(I5*D5, 0)</f>
        <v>0</v>
      </c>
      <c r="K5" s="16">
        <f>TRUNC(E5+G5+I5, 0)</f>
        <v>0</v>
      </c>
      <c r="L5" s="16">
        <f>TRUNC(F5+H5+J5, 0)</f>
        <v>0</v>
      </c>
      <c r="M5" s="17" t="s">
        <v>12</v>
      </c>
    </row>
    <row r="6" spans="1:13" ht="30" customHeight="1">
      <c r="A6" s="13" t="str">
        <f>산출서!A5</f>
        <v>사토처리</v>
      </c>
      <c r="B6" s="13" t="str">
        <f>산출서!B5</f>
        <v>보통토사</v>
      </c>
      <c r="C6" s="13" t="str">
        <f>산출서!C5</f>
        <v>m3</v>
      </c>
      <c r="D6" s="11">
        <v>5.3156249999999998</v>
      </c>
      <c r="E6" s="15"/>
      <c r="F6" s="16">
        <f t="shared" ref="F6:F42" si="0">TRUNC(E6*D6, 0)</f>
        <v>0</v>
      </c>
      <c r="G6" s="15"/>
      <c r="H6" s="16">
        <f>TRUNC(G6*D6, 0)</f>
        <v>0</v>
      </c>
      <c r="I6" s="15"/>
      <c r="J6" s="16">
        <f t="shared" ref="J6:J42" si="1">TRUNC(I6*D6, 0)</f>
        <v>0</v>
      </c>
      <c r="K6" s="16">
        <f t="shared" ref="K6:L42" si="2">TRUNC(E6+G6+I6, 0)</f>
        <v>0</v>
      </c>
      <c r="L6" s="16">
        <f t="shared" si="2"/>
        <v>0</v>
      </c>
      <c r="M6" s="17" t="s">
        <v>12</v>
      </c>
    </row>
    <row r="7" spans="1:13" ht="30" customHeight="1">
      <c r="A7" s="13" t="str">
        <f>산출서!A6</f>
        <v>비닐깔기</v>
      </c>
      <c r="B7" s="13" t="str">
        <f>산출서!B6</f>
        <v>0.03 2겹</v>
      </c>
      <c r="C7" s="13" t="str">
        <f>산출서!C6</f>
        <v>m2</v>
      </c>
      <c r="D7" s="11">
        <v>36.190000000000005</v>
      </c>
      <c r="E7" s="12"/>
      <c r="F7" s="16">
        <f t="shared" si="0"/>
        <v>0</v>
      </c>
      <c r="G7" s="12"/>
      <c r="H7" s="16">
        <f t="shared" ref="H7:H12" si="3">TRUNC(G7*D7, 0)</f>
        <v>0</v>
      </c>
      <c r="I7" s="12"/>
      <c r="J7" s="16">
        <f t="shared" si="1"/>
        <v>0</v>
      </c>
      <c r="K7" s="16">
        <f t="shared" si="2"/>
        <v>0</v>
      </c>
      <c r="L7" s="16">
        <f t="shared" si="2"/>
        <v>0</v>
      </c>
      <c r="M7" s="11"/>
    </row>
    <row r="8" spans="1:13" ht="30" customHeight="1">
      <c r="A8" s="13" t="str">
        <f>산출서!A7</f>
        <v>거푸집설치</v>
      </c>
      <c r="B8" s="13" t="str">
        <f>산출서!B7</f>
        <v>합판거푸집</v>
      </c>
      <c r="C8" s="13" t="str">
        <f>산출서!C7</f>
        <v>m2</v>
      </c>
      <c r="D8" s="11">
        <v>2.7</v>
      </c>
      <c r="E8" s="12"/>
      <c r="F8" s="16">
        <f t="shared" si="0"/>
        <v>0</v>
      </c>
      <c r="G8" s="12"/>
      <c r="H8" s="16">
        <f t="shared" si="3"/>
        <v>0</v>
      </c>
      <c r="I8" s="12"/>
      <c r="J8" s="16">
        <f t="shared" si="1"/>
        <v>0</v>
      </c>
      <c r="K8" s="16">
        <f t="shared" si="2"/>
        <v>0</v>
      </c>
      <c r="L8" s="16">
        <f t="shared" si="2"/>
        <v>0</v>
      </c>
      <c r="M8" s="11"/>
    </row>
    <row r="9" spans="1:13" ht="30" customHeight="1">
      <c r="A9" s="13" t="str">
        <f>산출서!A8</f>
        <v>철근배근</v>
      </c>
      <c r="B9" s="13" t="str">
        <f>산출서!B8</f>
        <v>HD13mm,@300</v>
      </c>
      <c r="C9" s="13" t="str">
        <f>산출서!C8</f>
        <v>톤</v>
      </c>
      <c r="D9" s="11">
        <v>0.26</v>
      </c>
      <c r="E9" s="12"/>
      <c r="F9" s="16">
        <f t="shared" si="0"/>
        <v>0</v>
      </c>
      <c r="G9" s="12"/>
      <c r="H9" s="16">
        <f t="shared" si="3"/>
        <v>0</v>
      </c>
      <c r="I9" s="12"/>
      <c r="J9" s="16">
        <f t="shared" si="1"/>
        <v>0</v>
      </c>
      <c r="K9" s="16">
        <f t="shared" si="2"/>
        <v>0</v>
      </c>
      <c r="L9" s="16">
        <f t="shared" si="2"/>
        <v>0</v>
      </c>
      <c r="M9" s="11"/>
    </row>
    <row r="10" spans="1:13" ht="30" customHeight="1">
      <c r="A10" s="13" t="str">
        <f>산출서!A9</f>
        <v>레미콘</v>
      </c>
      <c r="B10" s="13" t="str">
        <f>산출서!B9</f>
        <v>25-24-15</v>
      </c>
      <c r="C10" s="13" t="str">
        <f>산출서!C9</f>
        <v>m3</v>
      </c>
      <c r="D10" s="11">
        <v>5.0625</v>
      </c>
      <c r="E10" s="12"/>
      <c r="F10" s="16">
        <f t="shared" si="0"/>
        <v>0</v>
      </c>
      <c r="G10" s="12"/>
      <c r="H10" s="16">
        <f t="shared" si="3"/>
        <v>0</v>
      </c>
      <c r="I10" s="12"/>
      <c r="J10" s="16">
        <f t="shared" si="1"/>
        <v>0</v>
      </c>
      <c r="K10" s="16">
        <f t="shared" si="2"/>
        <v>0</v>
      </c>
      <c r="L10" s="16">
        <f t="shared" si="2"/>
        <v>0</v>
      </c>
      <c r="M10" s="11"/>
    </row>
    <row r="11" spans="1:13" ht="30" customHeight="1">
      <c r="A11" s="13" t="str">
        <f>산출서!A10</f>
        <v>레미콘 타설</v>
      </c>
      <c r="B11" s="13" t="str">
        <f>산출서!B10</f>
        <v>펌프카</v>
      </c>
      <c r="C11" s="13" t="str">
        <f>산출서!C10</f>
        <v>m3</v>
      </c>
      <c r="D11" s="11">
        <v>5.0625</v>
      </c>
      <c r="E11" s="12"/>
      <c r="F11" s="16">
        <f t="shared" si="0"/>
        <v>0</v>
      </c>
      <c r="G11" s="12"/>
      <c r="H11" s="16">
        <f t="shared" si="3"/>
        <v>0</v>
      </c>
      <c r="I11" s="12"/>
      <c r="J11" s="16">
        <f t="shared" si="1"/>
        <v>0</v>
      </c>
      <c r="K11" s="16">
        <f t="shared" si="2"/>
        <v>0</v>
      </c>
      <c r="L11" s="16">
        <f t="shared" si="2"/>
        <v>0</v>
      </c>
      <c r="M11" s="11"/>
    </row>
    <row r="12" spans="1:13" ht="30" customHeight="1">
      <c r="A12" s="13" t="str">
        <f>산출서!A11</f>
        <v>기계미장</v>
      </c>
      <c r="B12" s="13" t="str">
        <f>산출서!B11</f>
        <v>하드너</v>
      </c>
      <c r="C12" s="13" t="str">
        <f>산출서!C11</f>
        <v>m2</v>
      </c>
      <c r="D12" s="11">
        <v>33.75</v>
      </c>
      <c r="E12" s="50"/>
      <c r="F12" s="16">
        <f t="shared" si="0"/>
        <v>0</v>
      </c>
      <c r="G12" s="12"/>
      <c r="H12" s="16">
        <f t="shared" si="3"/>
        <v>0</v>
      </c>
      <c r="I12" s="12"/>
      <c r="J12" s="16">
        <f t="shared" si="1"/>
        <v>0</v>
      </c>
      <c r="K12" s="16">
        <f t="shared" si="2"/>
        <v>0</v>
      </c>
      <c r="L12" s="16">
        <f t="shared" si="2"/>
        <v>0</v>
      </c>
      <c r="M12" s="11"/>
    </row>
    <row r="13" spans="1:13" ht="30" customHeight="1">
      <c r="A13" s="13"/>
      <c r="B13" s="13"/>
      <c r="C13" s="13"/>
      <c r="D13" s="11"/>
      <c r="E13" s="12"/>
      <c r="F13" s="16"/>
      <c r="G13" s="12"/>
      <c r="H13" s="16"/>
      <c r="I13" s="12"/>
      <c r="J13" s="16"/>
      <c r="K13" s="16"/>
      <c r="L13" s="16"/>
      <c r="M13" s="11"/>
    </row>
    <row r="14" spans="1:13" ht="30" customHeight="1">
      <c r="A14" s="18" t="s">
        <v>201</v>
      </c>
      <c r="B14" s="18"/>
      <c r="C14" s="18"/>
      <c r="D14" s="19"/>
      <c r="E14" s="20"/>
      <c r="F14" s="49">
        <f>SUM(F5:F13)</f>
        <v>0</v>
      </c>
      <c r="G14" s="20"/>
      <c r="H14" s="49">
        <f>SUM(H5:H13)</f>
        <v>0</v>
      </c>
      <c r="I14" s="20"/>
      <c r="J14" s="49">
        <f>SUM(J5:J13)</f>
        <v>0</v>
      </c>
      <c r="K14" s="49"/>
      <c r="L14" s="49">
        <f>SUM(L5:L13)</f>
        <v>0</v>
      </c>
      <c r="M14" s="19"/>
    </row>
    <row r="15" spans="1:13" ht="30" customHeight="1">
      <c r="A15" s="13" t="str">
        <f>산출서!A14</f>
        <v>농구장(13.8*13.8)</v>
      </c>
      <c r="B15" s="13"/>
      <c r="C15" s="13"/>
      <c r="D15" s="11"/>
      <c r="E15" s="12"/>
      <c r="F15" s="16"/>
      <c r="G15" s="12"/>
      <c r="H15" s="16"/>
      <c r="I15" s="12"/>
      <c r="J15" s="16"/>
      <c r="K15" s="16"/>
      <c r="L15" s="16"/>
      <c r="M15" s="11"/>
    </row>
    <row r="16" spans="1:13" s="55" customFormat="1" ht="30" customHeight="1">
      <c r="A16" s="52" t="s">
        <v>221</v>
      </c>
      <c r="B16" s="52" t="s">
        <v>222</v>
      </c>
      <c r="C16" s="52" t="s">
        <v>223</v>
      </c>
      <c r="D16" s="53">
        <v>5.5200000000000005</v>
      </c>
      <c r="E16" s="42"/>
      <c r="F16" s="54">
        <f t="shared" ref="F16" si="4">TRUNC(E16*D16, 0)</f>
        <v>0</v>
      </c>
      <c r="G16" s="42"/>
      <c r="H16" s="54">
        <f t="shared" ref="H16" si="5">TRUNC(G16*D16, 0)</f>
        <v>0</v>
      </c>
      <c r="I16" s="42"/>
      <c r="J16" s="54">
        <f t="shared" ref="J16" si="6">TRUNC(I16*D16, 0)</f>
        <v>0</v>
      </c>
      <c r="K16" s="54">
        <f t="shared" ref="K16" si="7">TRUNC(E16+G16+I16, 0)</f>
        <v>0</v>
      </c>
      <c r="L16" s="54">
        <f t="shared" ref="L16" si="8">TRUNC(F16+H16+J16, 0)</f>
        <v>0</v>
      </c>
      <c r="M16" s="53"/>
    </row>
    <row r="17" spans="1:13" s="55" customFormat="1" ht="30" customHeight="1">
      <c r="A17" s="52" t="str">
        <f>산출서!A20</f>
        <v>철근배근</v>
      </c>
      <c r="B17" s="52" t="str">
        <f>산출서!B20</f>
        <v>HD13mm@250</v>
      </c>
      <c r="C17" s="52" t="str">
        <f>산출서!C20</f>
        <v>톤</v>
      </c>
      <c r="D17" s="53">
        <v>1.7</v>
      </c>
      <c r="E17" s="42"/>
      <c r="F17" s="54">
        <f t="shared" si="0"/>
        <v>0</v>
      </c>
      <c r="G17" s="42"/>
      <c r="H17" s="54">
        <f t="shared" ref="H17:H24" si="9">TRUNC(G17*D17, 0)</f>
        <v>0</v>
      </c>
      <c r="I17" s="42"/>
      <c r="J17" s="54">
        <f t="shared" ref="J17:J22" si="10">TRUNC(I17*D17, 0)</f>
        <v>0</v>
      </c>
      <c r="K17" s="54">
        <f t="shared" ref="K17:L22" si="11">TRUNC(E17+G17+I17, 0)</f>
        <v>0</v>
      </c>
      <c r="L17" s="54">
        <f t="shared" si="11"/>
        <v>0</v>
      </c>
      <c r="M17" s="53"/>
    </row>
    <row r="18" spans="1:13" s="55" customFormat="1" ht="30" customHeight="1">
      <c r="A18" s="52" t="str">
        <f>산출서!A21</f>
        <v>레미콘</v>
      </c>
      <c r="B18" s="52" t="str">
        <f>산출서!B21</f>
        <v>25-24-15</v>
      </c>
      <c r="C18" s="52" t="str">
        <f>산출서!C21</f>
        <v>m3</v>
      </c>
      <c r="D18" s="53">
        <v>29.422980000000003</v>
      </c>
      <c r="E18" s="42"/>
      <c r="F18" s="54">
        <f t="shared" si="0"/>
        <v>0</v>
      </c>
      <c r="G18" s="42"/>
      <c r="H18" s="54">
        <f t="shared" si="9"/>
        <v>0</v>
      </c>
      <c r="I18" s="42"/>
      <c r="J18" s="54">
        <f t="shared" si="10"/>
        <v>0</v>
      </c>
      <c r="K18" s="54">
        <f t="shared" si="11"/>
        <v>0</v>
      </c>
      <c r="L18" s="54">
        <f t="shared" si="11"/>
        <v>0</v>
      </c>
      <c r="M18" s="53"/>
    </row>
    <row r="19" spans="1:13" s="55" customFormat="1" ht="30" customHeight="1">
      <c r="A19" s="52" t="str">
        <f>산출서!A22</f>
        <v>레미콘 타설</v>
      </c>
      <c r="B19" s="52" t="str">
        <f>산출서!B22</f>
        <v>펌프카</v>
      </c>
      <c r="C19" s="52" t="str">
        <f>산출서!C22</f>
        <v>m3</v>
      </c>
      <c r="D19" s="53">
        <v>29.422980000000003</v>
      </c>
      <c r="E19" s="42"/>
      <c r="F19" s="54">
        <f t="shared" si="0"/>
        <v>0</v>
      </c>
      <c r="G19" s="42"/>
      <c r="H19" s="54">
        <f t="shared" si="9"/>
        <v>0</v>
      </c>
      <c r="I19" s="42"/>
      <c r="J19" s="54">
        <f t="shared" si="10"/>
        <v>0</v>
      </c>
      <c r="K19" s="54">
        <f t="shared" si="11"/>
        <v>0</v>
      </c>
      <c r="L19" s="54">
        <f t="shared" si="11"/>
        <v>0</v>
      </c>
      <c r="M19" s="53"/>
    </row>
    <row r="20" spans="1:13" s="55" customFormat="1" ht="30" customHeight="1">
      <c r="A20" s="52" t="str">
        <f>산출서!A23</f>
        <v>기계미장</v>
      </c>
      <c r="B20" s="52"/>
      <c r="C20" s="52" t="str">
        <f>산출서!C23</f>
        <v>m2</v>
      </c>
      <c r="D20" s="53">
        <v>190.44000000000003</v>
      </c>
      <c r="E20" s="42"/>
      <c r="F20" s="54">
        <f t="shared" si="0"/>
        <v>0</v>
      </c>
      <c r="G20" s="42"/>
      <c r="H20" s="54">
        <f t="shared" si="9"/>
        <v>0</v>
      </c>
      <c r="I20" s="42"/>
      <c r="J20" s="54">
        <f t="shared" si="10"/>
        <v>0</v>
      </c>
      <c r="K20" s="54">
        <f t="shared" si="11"/>
        <v>0</v>
      </c>
      <c r="L20" s="54">
        <f t="shared" si="11"/>
        <v>0</v>
      </c>
      <c r="M20" s="53"/>
    </row>
    <row r="21" spans="1:13" s="55" customFormat="1" ht="30" customHeight="1">
      <c r="A21" s="52" t="str">
        <f>산출서!A24</f>
        <v>바닥 고경질 우레탄</v>
      </c>
      <c r="B21" s="52" t="str">
        <f>산출서!B24</f>
        <v>노출고경질우레탄 5mm,논슬립형</v>
      </c>
      <c r="C21" s="52" t="str">
        <f>산출서!C24</f>
        <v>m2</v>
      </c>
      <c r="D21" s="53">
        <v>190.44000000000003</v>
      </c>
      <c r="E21" s="42"/>
      <c r="F21" s="54">
        <f t="shared" si="0"/>
        <v>0</v>
      </c>
      <c r="G21" s="42"/>
      <c r="H21" s="54">
        <f t="shared" si="9"/>
        <v>0</v>
      </c>
      <c r="I21" s="42"/>
      <c r="J21" s="54">
        <f t="shared" si="10"/>
        <v>0</v>
      </c>
      <c r="K21" s="54">
        <f t="shared" si="11"/>
        <v>0</v>
      </c>
      <c r="L21" s="54">
        <f t="shared" si="11"/>
        <v>0</v>
      </c>
      <c r="M21" s="53"/>
    </row>
    <row r="22" spans="1:13" s="55" customFormat="1" ht="30" customHeight="1">
      <c r="A22" s="52" t="str">
        <f>산출서!A25</f>
        <v>농구대 라인</v>
      </c>
      <c r="B22" s="52" t="str">
        <f>산출서!B25</f>
        <v>기존 라인동일 시공도</v>
      </c>
      <c r="C22" s="52" t="str">
        <f>산출서!C25</f>
        <v>식</v>
      </c>
      <c r="D22" s="53">
        <v>1</v>
      </c>
      <c r="E22" s="42"/>
      <c r="F22" s="54">
        <f t="shared" si="0"/>
        <v>0</v>
      </c>
      <c r="G22" s="42"/>
      <c r="H22" s="54">
        <f t="shared" si="9"/>
        <v>0</v>
      </c>
      <c r="I22" s="42"/>
      <c r="J22" s="54">
        <f t="shared" si="10"/>
        <v>0</v>
      </c>
      <c r="K22" s="54">
        <f t="shared" si="11"/>
        <v>0</v>
      </c>
      <c r="L22" s="54">
        <f t="shared" si="11"/>
        <v>0</v>
      </c>
      <c r="M22" s="53"/>
    </row>
    <row r="23" spans="1:13" s="55" customFormat="1" ht="30" customHeight="1">
      <c r="A23" s="52" t="s">
        <v>218</v>
      </c>
      <c r="B23" s="52" t="s">
        <v>235</v>
      </c>
      <c r="C23" s="52" t="s">
        <v>219</v>
      </c>
      <c r="D23" s="53">
        <v>1</v>
      </c>
      <c r="E23" s="42"/>
      <c r="F23" s="54">
        <f t="shared" si="0"/>
        <v>0</v>
      </c>
      <c r="G23" s="42"/>
      <c r="H23" s="54">
        <f t="shared" si="9"/>
        <v>0</v>
      </c>
      <c r="I23" s="42"/>
      <c r="J23" s="54">
        <f t="shared" ref="J23:J24" si="12">TRUNC(I23*D23, 0)</f>
        <v>0</v>
      </c>
      <c r="K23" s="54">
        <f t="shared" ref="K23:K24" si="13">TRUNC(E23+G23+I23, 0)</f>
        <v>0</v>
      </c>
      <c r="L23" s="54">
        <f t="shared" ref="L23:L24" si="14">TRUNC(F23+H23+J23, 0)</f>
        <v>0</v>
      </c>
      <c r="M23" s="53"/>
    </row>
    <row r="24" spans="1:13" s="55" customFormat="1" ht="30" customHeight="1">
      <c r="A24" s="52" t="s">
        <v>216</v>
      </c>
      <c r="B24" s="52" t="s">
        <v>239</v>
      </c>
      <c r="C24" s="52" t="s">
        <v>217</v>
      </c>
      <c r="D24" s="53">
        <v>28</v>
      </c>
      <c r="E24" s="42"/>
      <c r="F24" s="54">
        <f t="shared" si="0"/>
        <v>0</v>
      </c>
      <c r="G24" s="42"/>
      <c r="H24" s="54">
        <f t="shared" si="9"/>
        <v>0</v>
      </c>
      <c r="I24" s="42"/>
      <c r="J24" s="54">
        <f t="shared" si="12"/>
        <v>0</v>
      </c>
      <c r="K24" s="54">
        <f t="shared" si="13"/>
        <v>0</v>
      </c>
      <c r="L24" s="54">
        <f t="shared" si="14"/>
        <v>0</v>
      </c>
      <c r="M24" s="53"/>
    </row>
    <row r="25" spans="1:13" s="55" customFormat="1" ht="30" customHeight="1">
      <c r="A25" s="52" t="s">
        <v>233</v>
      </c>
      <c r="B25" s="52" t="s">
        <v>230</v>
      </c>
      <c r="C25" s="52" t="s">
        <v>231</v>
      </c>
      <c r="D25" s="53">
        <v>56</v>
      </c>
      <c r="E25" s="42"/>
      <c r="F25" s="54">
        <f t="shared" si="0"/>
        <v>0</v>
      </c>
      <c r="G25" s="42"/>
      <c r="H25" s="54">
        <f>TRUNC(G25*D25, 0)</f>
        <v>0</v>
      </c>
      <c r="I25" s="42"/>
      <c r="J25" s="54">
        <f t="shared" ref="J25" si="15">TRUNC(I25*D25, 0)</f>
        <v>0</v>
      </c>
      <c r="K25" s="54">
        <f t="shared" ref="K25" si="16">TRUNC(E25+G25+I25, 0)</f>
        <v>0</v>
      </c>
      <c r="L25" s="54">
        <f t="shared" ref="L25" si="17">TRUNC(F25+H25+J25, 0)</f>
        <v>0</v>
      </c>
      <c r="M25" s="53"/>
    </row>
    <row r="26" spans="1:13" s="55" customFormat="1" ht="30" customHeight="1">
      <c r="A26" s="52" t="s">
        <v>236</v>
      </c>
      <c r="B26" s="52" t="s">
        <v>238</v>
      </c>
      <c r="C26" s="52" t="s">
        <v>237</v>
      </c>
      <c r="D26" s="53">
        <v>1</v>
      </c>
      <c r="E26" s="42"/>
      <c r="F26" s="54">
        <f t="shared" si="0"/>
        <v>0</v>
      </c>
      <c r="G26" s="42"/>
      <c r="H26" s="54">
        <f>TRUNC(G26*D26, 0)</f>
        <v>0</v>
      </c>
      <c r="I26" s="42"/>
      <c r="J26" s="54">
        <f t="shared" ref="J26" si="18">TRUNC(I26*D26, 0)</f>
        <v>0</v>
      </c>
      <c r="K26" s="54">
        <f t="shared" ref="K26" si="19">TRUNC(E26+G26+I26, 0)</f>
        <v>0</v>
      </c>
      <c r="L26" s="54">
        <f t="shared" ref="L26" si="20">TRUNC(F26+H26+J26, 0)</f>
        <v>0</v>
      </c>
      <c r="M26" s="53"/>
    </row>
    <row r="27" spans="1:13" ht="30" customHeight="1">
      <c r="A27" s="13"/>
      <c r="B27" s="13"/>
      <c r="C27" s="13"/>
      <c r="D27" s="11"/>
      <c r="E27" s="12"/>
      <c r="F27" s="16"/>
      <c r="G27" s="12"/>
      <c r="H27" s="16"/>
      <c r="I27" s="12"/>
      <c r="J27" s="16"/>
      <c r="K27" s="16"/>
      <c r="L27" s="16"/>
      <c r="M27" s="11"/>
    </row>
    <row r="28" spans="1:13" ht="30" customHeight="1">
      <c r="A28" s="18" t="s">
        <v>201</v>
      </c>
      <c r="B28" s="18"/>
      <c r="C28" s="18"/>
      <c r="D28" s="19"/>
      <c r="E28" s="20"/>
      <c r="F28" s="49">
        <f>SUM(F17:F27)</f>
        <v>0</v>
      </c>
      <c r="G28" s="20"/>
      <c r="H28" s="49">
        <f>SUM(H17:H27)</f>
        <v>0</v>
      </c>
      <c r="I28" s="20"/>
      <c r="J28" s="49">
        <f>SUM(J17:J27)</f>
        <v>0</v>
      </c>
      <c r="K28" s="49"/>
      <c r="L28" s="49">
        <f>SUM(L17:L27)</f>
        <v>0</v>
      </c>
      <c r="M28" s="19"/>
    </row>
    <row r="29" spans="1:13" ht="30" customHeight="1">
      <c r="A29" s="13"/>
      <c r="B29" s="13"/>
      <c r="C29" s="13"/>
      <c r="D29" s="11"/>
      <c r="E29" s="12"/>
      <c r="F29" s="16"/>
      <c r="G29" s="12"/>
      <c r="H29" s="16"/>
      <c r="I29" s="12"/>
      <c r="J29" s="16"/>
      <c r="K29" s="16"/>
      <c r="L29" s="16"/>
      <c r="M29" s="11"/>
    </row>
    <row r="30" spans="1:13" ht="30" customHeight="1">
      <c r="A30" s="13" t="str">
        <f>산출서!A28</f>
        <v>외부 경사로(2*3.5)</v>
      </c>
      <c r="B30" s="13"/>
      <c r="D30" s="11"/>
      <c r="E30" s="12"/>
      <c r="F30" s="16"/>
      <c r="G30" s="12"/>
      <c r="H30" s="16"/>
      <c r="I30" s="12"/>
      <c r="J30" s="16"/>
      <c r="K30" s="16"/>
      <c r="L30" s="16"/>
      <c r="M30" s="11"/>
    </row>
    <row r="31" spans="1:13" ht="30" customHeight="1">
      <c r="A31" s="13" t="str">
        <f>산출서!A29</f>
        <v>거푸집설치</v>
      </c>
      <c r="B31" s="13" t="str">
        <f>산출서!B29</f>
        <v>합판거푸집</v>
      </c>
      <c r="C31" s="13" t="str">
        <f>산출서!C29</f>
        <v>m2</v>
      </c>
      <c r="D31" s="11">
        <v>2.2000000000000002</v>
      </c>
      <c r="E31" s="12"/>
      <c r="F31" s="16">
        <f t="shared" ref="F31:F35" si="21">TRUNC(E31*D31, 0)</f>
        <v>0</v>
      </c>
      <c r="G31" s="12"/>
      <c r="H31" s="16">
        <f t="shared" ref="H31:H35" si="22">TRUNC(G31*D31, 0)</f>
        <v>0</v>
      </c>
      <c r="I31" s="12"/>
      <c r="J31" s="16">
        <f t="shared" ref="J31:J35" si="23">TRUNC(I31*D31, 0)</f>
        <v>0</v>
      </c>
      <c r="K31" s="16">
        <f t="shared" ref="K31:L35" si="24">TRUNC(E31+G31+I31, 0)</f>
        <v>0</v>
      </c>
      <c r="L31" s="16">
        <f t="shared" si="24"/>
        <v>0</v>
      </c>
      <c r="M31" s="11"/>
    </row>
    <row r="32" spans="1:13" ht="30" customHeight="1">
      <c r="A32" s="13" t="str">
        <f>산출서!A30</f>
        <v xml:space="preserve">레미콘 </v>
      </c>
      <c r="B32" s="13" t="str">
        <f>산출서!B30</f>
        <v>25-24-15</v>
      </c>
      <c r="C32" s="13" t="str">
        <f>산출서!C30</f>
        <v>m3</v>
      </c>
      <c r="D32" s="11">
        <v>1.05</v>
      </c>
      <c r="E32" s="12"/>
      <c r="F32" s="16">
        <f t="shared" si="21"/>
        <v>0</v>
      </c>
      <c r="G32" s="12"/>
      <c r="H32" s="16">
        <f t="shared" si="22"/>
        <v>0</v>
      </c>
      <c r="I32" s="12"/>
      <c r="J32" s="16">
        <f t="shared" si="23"/>
        <v>0</v>
      </c>
      <c r="K32" s="16">
        <f t="shared" si="24"/>
        <v>0</v>
      </c>
      <c r="L32" s="16">
        <f t="shared" si="24"/>
        <v>0</v>
      </c>
      <c r="M32" s="11"/>
    </row>
    <row r="33" spans="1:13" ht="30" customHeight="1">
      <c r="A33" s="13" t="str">
        <f>산출서!A31</f>
        <v>레미콘 타설</v>
      </c>
      <c r="B33" s="13" t="s">
        <v>204</v>
      </c>
      <c r="C33" s="13" t="str">
        <f>산출서!C31</f>
        <v>m3</v>
      </c>
      <c r="D33" s="11">
        <v>1.05</v>
      </c>
      <c r="E33" s="12"/>
      <c r="F33" s="16">
        <f t="shared" si="21"/>
        <v>0</v>
      </c>
      <c r="G33" s="12"/>
      <c r="H33" s="16">
        <f t="shared" si="22"/>
        <v>0</v>
      </c>
      <c r="I33" s="12"/>
      <c r="J33" s="16">
        <f t="shared" si="23"/>
        <v>0</v>
      </c>
      <c r="K33" s="16">
        <f t="shared" si="24"/>
        <v>0</v>
      </c>
      <c r="L33" s="16">
        <f t="shared" si="24"/>
        <v>0</v>
      </c>
      <c r="M33" s="11"/>
    </row>
    <row r="34" spans="1:13" ht="30" customHeight="1">
      <c r="A34" s="13" t="str">
        <f>산출서!A32</f>
        <v>조면처리</v>
      </c>
      <c r="B34" s="13"/>
      <c r="C34" s="13" t="str">
        <f>산출서!C32</f>
        <v>m2</v>
      </c>
      <c r="D34" s="11">
        <v>7</v>
      </c>
      <c r="E34" s="12"/>
      <c r="F34" s="16">
        <f t="shared" si="21"/>
        <v>0</v>
      </c>
      <c r="G34" s="12"/>
      <c r="H34" s="16">
        <f t="shared" si="22"/>
        <v>0</v>
      </c>
      <c r="I34" s="12"/>
      <c r="J34" s="16">
        <f t="shared" si="23"/>
        <v>0</v>
      </c>
      <c r="K34" s="16">
        <f t="shared" si="24"/>
        <v>0</v>
      </c>
      <c r="L34" s="16">
        <f t="shared" si="24"/>
        <v>0</v>
      </c>
      <c r="M34" s="11"/>
    </row>
    <row r="35" spans="1:13" ht="30" customHeight="1">
      <c r="A35" s="13" t="str">
        <f>산출서!A33</f>
        <v>난간대 설치</v>
      </c>
      <c r="B35" s="13" t="str">
        <f>산출서!B33</f>
        <v>스텐(시공도)</v>
      </c>
      <c r="C35" s="13" t="str">
        <f>산출서!C33</f>
        <v>m</v>
      </c>
      <c r="D35" s="11">
        <v>7</v>
      </c>
      <c r="E35" s="12"/>
      <c r="F35" s="16">
        <f t="shared" si="21"/>
        <v>0</v>
      </c>
      <c r="G35" s="12"/>
      <c r="H35" s="16">
        <f t="shared" si="22"/>
        <v>0</v>
      </c>
      <c r="I35" s="12"/>
      <c r="J35" s="16">
        <f t="shared" si="23"/>
        <v>0</v>
      </c>
      <c r="K35" s="16">
        <f t="shared" si="24"/>
        <v>0</v>
      </c>
      <c r="L35" s="16">
        <f t="shared" si="24"/>
        <v>0</v>
      </c>
      <c r="M35" s="11"/>
    </row>
    <row r="36" spans="1:13" ht="30" customHeight="1">
      <c r="A36" s="13"/>
      <c r="B36" s="13"/>
      <c r="C36" s="13"/>
      <c r="D36" s="11"/>
      <c r="E36" s="12"/>
      <c r="F36" s="16"/>
      <c r="G36" s="12"/>
      <c r="H36" s="16"/>
      <c r="I36" s="12"/>
      <c r="J36" s="16"/>
      <c r="K36" s="16"/>
      <c r="L36" s="16"/>
      <c r="M36" s="11"/>
    </row>
    <row r="37" spans="1:13" ht="30" customHeight="1">
      <c r="A37" s="13"/>
      <c r="B37" s="13"/>
      <c r="C37" s="13"/>
      <c r="D37" s="11"/>
      <c r="E37" s="12"/>
      <c r="F37" s="16"/>
      <c r="G37" s="12"/>
      <c r="H37" s="16"/>
      <c r="I37" s="12"/>
      <c r="J37" s="16"/>
      <c r="K37" s="16"/>
      <c r="L37" s="16"/>
      <c r="M37" s="11"/>
    </row>
    <row r="38" spans="1:13" ht="30" customHeight="1">
      <c r="A38" s="13"/>
      <c r="B38" s="13"/>
      <c r="C38" s="13"/>
      <c r="D38" s="11"/>
      <c r="E38" s="12"/>
      <c r="F38" s="16"/>
      <c r="G38" s="12"/>
      <c r="H38" s="16"/>
      <c r="I38" s="12"/>
      <c r="J38" s="16"/>
      <c r="K38" s="16"/>
      <c r="L38" s="16"/>
      <c r="M38" s="11"/>
    </row>
    <row r="39" spans="1:13" ht="30" customHeight="1">
      <c r="A39" s="13"/>
      <c r="B39" s="13"/>
      <c r="C39" s="13"/>
      <c r="D39" s="11"/>
      <c r="E39" s="12"/>
      <c r="F39" s="16"/>
      <c r="G39" s="12"/>
      <c r="H39" s="16"/>
      <c r="I39" s="12"/>
      <c r="J39" s="16"/>
      <c r="K39" s="16"/>
      <c r="L39" s="16"/>
      <c r="M39" s="11"/>
    </row>
    <row r="40" spans="1:13" ht="30" customHeight="1">
      <c r="A40" s="13"/>
      <c r="B40" s="13"/>
      <c r="C40" s="13"/>
      <c r="D40" s="11"/>
      <c r="E40" s="12"/>
      <c r="F40" s="16"/>
      <c r="G40" s="12"/>
      <c r="H40" s="16"/>
      <c r="I40" s="12"/>
      <c r="J40" s="16"/>
      <c r="K40" s="16"/>
      <c r="L40" s="16"/>
      <c r="M40" s="11"/>
    </row>
    <row r="41" spans="1:13" ht="30" customHeight="1">
      <c r="A41" s="13"/>
      <c r="B41" s="13"/>
      <c r="C41" s="13"/>
      <c r="D41" s="11"/>
      <c r="E41" s="12"/>
      <c r="F41" s="16"/>
      <c r="G41" s="12"/>
      <c r="H41" s="16"/>
      <c r="I41" s="12"/>
      <c r="J41" s="16"/>
      <c r="K41" s="16"/>
      <c r="L41" s="16"/>
      <c r="M41" s="11"/>
    </row>
    <row r="42" spans="1:13" ht="30" customHeight="1">
      <c r="A42" s="13"/>
      <c r="B42" s="11"/>
      <c r="C42" s="11"/>
      <c r="D42" s="11"/>
      <c r="E42" s="12"/>
      <c r="F42" s="16">
        <f t="shared" si="0"/>
        <v>0</v>
      </c>
      <c r="G42" s="12"/>
      <c r="H42" s="12"/>
      <c r="I42" s="12"/>
      <c r="J42" s="16">
        <f t="shared" si="1"/>
        <v>0</v>
      </c>
      <c r="K42" s="16">
        <f t="shared" si="2"/>
        <v>0</v>
      </c>
      <c r="L42" s="16">
        <f t="shared" si="2"/>
        <v>0</v>
      </c>
      <c r="M42" s="11"/>
    </row>
    <row r="43" spans="1:13" ht="30" customHeight="1">
      <c r="A43" s="11"/>
      <c r="B43" s="11"/>
      <c r="C43" s="11"/>
      <c r="D43" s="11"/>
      <c r="E43" s="12"/>
      <c r="F43" s="12"/>
      <c r="G43" s="12"/>
      <c r="H43" s="12"/>
      <c r="I43" s="12"/>
      <c r="J43" s="12"/>
      <c r="K43" s="12"/>
      <c r="L43" s="12"/>
      <c r="M43" s="11"/>
    </row>
    <row r="44" spans="1:13" ht="30" customHeight="1">
      <c r="A44" s="18" t="s">
        <v>14</v>
      </c>
      <c r="B44" s="19"/>
      <c r="C44" s="19"/>
      <c r="D44" s="19"/>
      <c r="E44" s="20"/>
      <c r="F44" s="20">
        <f>SUM(F31:F43)</f>
        <v>0</v>
      </c>
      <c r="G44" s="20"/>
      <c r="H44" s="20">
        <f>SUM(H31:H43)</f>
        <v>0</v>
      </c>
      <c r="I44" s="20"/>
      <c r="J44" s="20">
        <f>SUM(J31:J43)</f>
        <v>0</v>
      </c>
      <c r="K44" s="20"/>
      <c r="L44" s="20">
        <f>SUM(L31:L43)</f>
        <v>0</v>
      </c>
      <c r="M44" s="20"/>
    </row>
  </sheetData>
  <mergeCells count="9">
    <mergeCell ref="I2:J2"/>
    <mergeCell ref="K2:L2"/>
    <mergeCell ref="M2:M3"/>
    <mergeCell ref="A2:A3"/>
    <mergeCell ref="B2:B3"/>
    <mergeCell ref="C2:C3"/>
    <mergeCell ref="D2:D3"/>
    <mergeCell ref="E2:F2"/>
    <mergeCell ref="G2:H2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7339DF-87BE-4618-9E50-1487B2AF3EA1}">
  <dimension ref="A1:M33"/>
  <sheetViews>
    <sheetView workbookViewId="0">
      <selection activeCell="B13" sqref="B13"/>
    </sheetView>
  </sheetViews>
  <sheetFormatPr defaultRowHeight="16.5"/>
  <cols>
    <col min="1" max="1" width="16.5" bestFit="1" customWidth="1"/>
    <col min="2" max="2" width="34.5" bestFit="1" customWidth="1"/>
    <col min="3" max="3" width="11" customWidth="1"/>
    <col min="4" max="4" width="15.875" bestFit="1" customWidth="1"/>
    <col min="7" max="7" width="15.25" bestFit="1" customWidth="1"/>
  </cols>
  <sheetData>
    <row r="1" spans="1:13">
      <c r="A1" t="s">
        <v>151</v>
      </c>
    </row>
    <row r="2" spans="1:13">
      <c r="A2" t="s">
        <v>202</v>
      </c>
    </row>
    <row r="3" spans="1:13">
      <c r="A3" t="s">
        <v>156</v>
      </c>
      <c r="B3" t="s">
        <v>162</v>
      </c>
      <c r="C3" t="s">
        <v>167</v>
      </c>
      <c r="D3" t="s">
        <v>157</v>
      </c>
      <c r="E3" t="s">
        <v>175</v>
      </c>
    </row>
    <row r="4" spans="1:13">
      <c r="A4" t="s">
        <v>152</v>
      </c>
      <c r="B4" t="s">
        <v>200</v>
      </c>
      <c r="C4" t="s">
        <v>168</v>
      </c>
      <c r="D4" t="s">
        <v>153</v>
      </c>
      <c r="E4">
        <f>7.5*4.5*0.15</f>
        <v>5.0625</v>
      </c>
    </row>
    <row r="5" spans="1:13">
      <c r="A5" t="s">
        <v>154</v>
      </c>
      <c r="B5" t="s">
        <v>200</v>
      </c>
      <c r="C5" t="s">
        <v>168</v>
      </c>
      <c r="D5" t="s">
        <v>155</v>
      </c>
      <c r="E5">
        <f>7.5*4.5*0.15*1.05</f>
        <v>5.3156249999999998</v>
      </c>
    </row>
    <row r="6" spans="1:13">
      <c r="A6" t="s">
        <v>158</v>
      </c>
      <c r="B6" t="s">
        <v>163</v>
      </c>
      <c r="C6" t="s">
        <v>169</v>
      </c>
      <c r="D6" t="s">
        <v>159</v>
      </c>
      <c r="E6">
        <f>7.7*4.7</f>
        <v>36.190000000000005</v>
      </c>
    </row>
    <row r="7" spans="1:13">
      <c r="A7" t="s">
        <v>160</v>
      </c>
      <c r="B7" t="s">
        <v>164</v>
      </c>
      <c r="C7" t="s">
        <v>169</v>
      </c>
      <c r="D7" t="s">
        <v>192</v>
      </c>
      <c r="E7">
        <f>(4.5+4.5+4.5)*0.2</f>
        <v>2.7</v>
      </c>
    </row>
    <row r="8" spans="1:13">
      <c r="A8" t="s">
        <v>161</v>
      </c>
      <c r="B8" t="s">
        <v>234</v>
      </c>
      <c r="C8" t="s">
        <v>170</v>
      </c>
      <c r="D8">
        <f>260/1000*1</f>
        <v>0.26</v>
      </c>
      <c r="E8">
        <f>260/1000*1</f>
        <v>0.26</v>
      </c>
      <c r="G8" s="43" t="s">
        <v>165</v>
      </c>
      <c r="H8" s="44">
        <f>4.5*(7.5/0.3+1)</f>
        <v>117</v>
      </c>
      <c r="I8" s="44">
        <f>H8+H9</f>
        <v>237</v>
      </c>
      <c r="J8" s="44">
        <v>0.995</v>
      </c>
      <c r="K8" s="44">
        <f>I8*J8</f>
        <v>235.815</v>
      </c>
      <c r="L8" s="44">
        <v>1.1000000000000001</v>
      </c>
      <c r="M8" s="45">
        <f>K8*L8</f>
        <v>259.3965</v>
      </c>
    </row>
    <row r="9" spans="1:13">
      <c r="A9" t="s">
        <v>171</v>
      </c>
      <c r="B9" t="s">
        <v>214</v>
      </c>
      <c r="C9" t="s">
        <v>168</v>
      </c>
      <c r="D9" t="s">
        <v>153</v>
      </c>
      <c r="E9">
        <f>7.5*4.5*0.15</f>
        <v>5.0625</v>
      </c>
      <c r="G9" s="46" t="s">
        <v>166</v>
      </c>
      <c r="H9" s="47">
        <f>7.5*(4.5/0.3+1)</f>
        <v>120</v>
      </c>
      <c r="I9" s="47"/>
      <c r="J9" s="47"/>
      <c r="K9" s="47"/>
      <c r="L9" s="47"/>
      <c r="M9" s="48"/>
    </row>
    <row r="10" spans="1:13">
      <c r="A10" t="s">
        <v>197</v>
      </c>
      <c r="B10" t="s">
        <v>196</v>
      </c>
      <c r="C10" t="s">
        <v>168</v>
      </c>
      <c r="D10" t="s">
        <v>153</v>
      </c>
      <c r="E10">
        <f>7.5*4.5*0.15</f>
        <v>5.0625</v>
      </c>
    </row>
    <row r="11" spans="1:13">
      <c r="A11" t="s">
        <v>172</v>
      </c>
      <c r="B11" t="s">
        <v>173</v>
      </c>
      <c r="C11" t="s">
        <v>169</v>
      </c>
      <c r="D11" t="s">
        <v>174</v>
      </c>
      <c r="E11">
        <f>7.5*4.5</f>
        <v>33.75</v>
      </c>
    </row>
    <row r="14" spans="1:13">
      <c r="A14" t="s">
        <v>176</v>
      </c>
    </row>
    <row r="15" spans="1:13">
      <c r="A15" t="s">
        <v>177</v>
      </c>
      <c r="B15" t="s">
        <v>208</v>
      </c>
      <c r="C15" t="s">
        <v>168</v>
      </c>
      <c r="D15" t="s">
        <v>178</v>
      </c>
      <c r="E15">
        <f>14*14*0.15</f>
        <v>29.4</v>
      </c>
    </row>
    <row r="16" spans="1:13">
      <c r="A16" t="s">
        <v>179</v>
      </c>
      <c r="B16" t="s">
        <v>180</v>
      </c>
      <c r="C16" t="s">
        <v>170</v>
      </c>
      <c r="D16" t="s">
        <v>181</v>
      </c>
      <c r="E16">
        <f>14*14*0.15*2.4</f>
        <v>70.559999999999988</v>
      </c>
    </row>
    <row r="17" spans="1:13">
      <c r="A17" t="s">
        <v>182</v>
      </c>
      <c r="B17" t="s">
        <v>185</v>
      </c>
      <c r="C17" t="s">
        <v>183</v>
      </c>
      <c r="D17" t="s">
        <v>184</v>
      </c>
      <c r="E17">
        <f>(14+14)*2</f>
        <v>56</v>
      </c>
    </row>
    <row r="18" spans="1:13">
      <c r="A18" t="s">
        <v>186</v>
      </c>
      <c r="B18" t="s">
        <v>211</v>
      </c>
      <c r="C18" t="s">
        <v>169</v>
      </c>
      <c r="D18" t="s">
        <v>187</v>
      </c>
      <c r="E18">
        <f>14*14</f>
        <v>196</v>
      </c>
    </row>
    <row r="19" spans="1:13">
      <c r="A19" t="s">
        <v>158</v>
      </c>
      <c r="B19" t="s">
        <v>163</v>
      </c>
      <c r="C19" t="s">
        <v>169</v>
      </c>
      <c r="D19" t="s">
        <v>187</v>
      </c>
      <c r="E19">
        <f>14*14</f>
        <v>196</v>
      </c>
    </row>
    <row r="20" spans="1:13">
      <c r="A20" t="s">
        <v>161</v>
      </c>
      <c r="B20" s="51" t="s">
        <v>225</v>
      </c>
      <c r="C20" t="s">
        <v>170</v>
      </c>
      <c r="D20" t="s">
        <v>227</v>
      </c>
      <c r="E20">
        <f>1.7*1</f>
        <v>1.7</v>
      </c>
      <c r="G20" t="s">
        <v>226</v>
      </c>
      <c r="I20">
        <f>13.8*(13.8/0.25+1)*2</f>
        <v>1551.1200000000001</v>
      </c>
      <c r="J20">
        <v>0.995</v>
      </c>
      <c r="K20">
        <f>I20*J20</f>
        <v>1543.3644000000002</v>
      </c>
      <c r="L20">
        <v>1.1000000000000001</v>
      </c>
      <c r="M20">
        <f>K20*L20</f>
        <v>1697.7008400000004</v>
      </c>
    </row>
    <row r="21" spans="1:13">
      <c r="A21" t="s">
        <v>171</v>
      </c>
      <c r="B21" t="s">
        <v>214</v>
      </c>
      <c r="C21" t="s">
        <v>168</v>
      </c>
      <c r="D21" t="s">
        <v>228</v>
      </c>
      <c r="E21">
        <f>13.8*13.8*0.15*1.03</f>
        <v>29.422980000000003</v>
      </c>
    </row>
    <row r="22" spans="1:13">
      <c r="A22" t="s">
        <v>197</v>
      </c>
      <c r="B22" t="s">
        <v>196</v>
      </c>
      <c r="C22" t="s">
        <v>168</v>
      </c>
      <c r="D22" t="s">
        <v>228</v>
      </c>
      <c r="E22">
        <f>13.8*13.8*0.15*1.03</f>
        <v>29.422980000000003</v>
      </c>
    </row>
    <row r="23" spans="1:13">
      <c r="A23" t="s">
        <v>172</v>
      </c>
      <c r="C23" t="s">
        <v>169</v>
      </c>
      <c r="D23" t="s">
        <v>188</v>
      </c>
      <c r="E23">
        <f>13.8*13.8</f>
        <v>190.44000000000003</v>
      </c>
    </row>
    <row r="24" spans="1:13">
      <c r="A24" t="s">
        <v>220</v>
      </c>
      <c r="B24" t="s">
        <v>224</v>
      </c>
      <c r="C24" t="s">
        <v>169</v>
      </c>
      <c r="D24" t="s">
        <v>188</v>
      </c>
      <c r="E24">
        <f>13.8*13.8</f>
        <v>190.44000000000003</v>
      </c>
    </row>
    <row r="25" spans="1:13">
      <c r="A25" t="s">
        <v>189</v>
      </c>
      <c r="B25" t="s">
        <v>212</v>
      </c>
      <c r="C25" t="s">
        <v>190</v>
      </c>
      <c r="D25" t="s">
        <v>191</v>
      </c>
      <c r="E25">
        <f>1*1</f>
        <v>1</v>
      </c>
    </row>
    <row r="26" spans="1:13">
      <c r="A26" s="13" t="s">
        <v>229</v>
      </c>
      <c r="B26" s="13" t="s">
        <v>230</v>
      </c>
      <c r="C26" s="13" t="s">
        <v>231</v>
      </c>
      <c r="D26" s="11" t="s">
        <v>232</v>
      </c>
      <c r="E26" s="11">
        <f>(14+14)*2</f>
        <v>56</v>
      </c>
    </row>
    <row r="28" spans="1:13">
      <c r="A28" t="s">
        <v>215</v>
      </c>
    </row>
    <row r="29" spans="1:13">
      <c r="A29" t="s">
        <v>160</v>
      </c>
      <c r="B29" t="s">
        <v>164</v>
      </c>
      <c r="C29" t="s">
        <v>169</v>
      </c>
      <c r="D29" t="s">
        <v>193</v>
      </c>
      <c r="E29">
        <f>(2+3.5)*2*0.2</f>
        <v>2.2000000000000002</v>
      </c>
    </row>
    <row r="30" spans="1:13">
      <c r="A30" t="s">
        <v>194</v>
      </c>
      <c r="B30" t="s">
        <v>214</v>
      </c>
      <c r="C30" t="s">
        <v>168</v>
      </c>
      <c r="D30" t="s">
        <v>195</v>
      </c>
      <c r="E30">
        <f>(3.5*2)*0.15</f>
        <v>1.05</v>
      </c>
    </row>
    <row r="31" spans="1:13">
      <c r="A31" t="s">
        <v>197</v>
      </c>
      <c r="B31" t="s">
        <v>196</v>
      </c>
      <c r="C31" t="s">
        <v>168</v>
      </c>
      <c r="D31" t="s">
        <v>195</v>
      </c>
      <c r="E31">
        <f>(3.5*2)*0.15</f>
        <v>1.05</v>
      </c>
    </row>
    <row r="32" spans="1:13">
      <c r="A32" t="s">
        <v>198</v>
      </c>
      <c r="C32" t="s">
        <v>169</v>
      </c>
      <c r="D32" t="s">
        <v>199</v>
      </c>
      <c r="E32">
        <f>3.5*2</f>
        <v>7</v>
      </c>
    </row>
    <row r="33" spans="1:5">
      <c r="A33" t="s">
        <v>203</v>
      </c>
      <c r="B33" t="s">
        <v>205</v>
      </c>
      <c r="C33" t="s">
        <v>183</v>
      </c>
      <c r="D33" t="s">
        <v>199</v>
      </c>
      <c r="E33">
        <f>3.5*2</f>
        <v>7</v>
      </c>
    </row>
  </sheetData>
  <phoneticPr fontId="1" type="noConversion"/>
  <hyperlinks>
    <hyperlink ref="B20" r:id="rId1" xr:uid="{9E6AAF7E-DDCD-486D-A2F8-CA5BD0B42F32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0BEDFC-690E-4CBE-BDE9-1A19609881D9}">
  <dimension ref="A1:M43"/>
  <sheetViews>
    <sheetView workbookViewId="0"/>
  </sheetViews>
  <sheetFormatPr defaultRowHeight="16.5"/>
  <sheetData>
    <row r="1" spans="1:7">
      <c r="A1" t="s">
        <v>87</v>
      </c>
    </row>
    <row r="2" spans="1:7">
      <c r="A2" s="1" t="s">
        <v>88</v>
      </c>
      <c r="B2" t="s">
        <v>89</v>
      </c>
      <c r="C2" s="1" t="s">
        <v>90</v>
      </c>
    </row>
    <row r="3" spans="1:7">
      <c r="A3" s="1" t="s">
        <v>91</v>
      </c>
      <c r="B3" t="s">
        <v>92</v>
      </c>
    </row>
    <row r="4" spans="1:7">
      <c r="A4" s="1" t="s">
        <v>93</v>
      </c>
      <c r="B4">
        <v>5</v>
      </c>
    </row>
    <row r="5" spans="1:7">
      <c r="A5" s="1" t="s">
        <v>94</v>
      </c>
      <c r="B5">
        <v>5</v>
      </c>
    </row>
    <row r="6" spans="1:7">
      <c r="A6" s="1" t="s">
        <v>95</v>
      </c>
      <c r="B6" t="s">
        <v>96</v>
      </c>
    </row>
    <row r="7" spans="1:7">
      <c r="A7" s="1" t="s">
        <v>97</v>
      </c>
      <c r="B7" t="s">
        <v>89</v>
      </c>
      <c r="C7">
        <v>1</v>
      </c>
    </row>
    <row r="8" spans="1:7">
      <c r="A8" s="1" t="s">
        <v>98</v>
      </c>
      <c r="B8" t="s">
        <v>89</v>
      </c>
      <c r="C8">
        <v>2</v>
      </c>
    </row>
    <row r="9" spans="1:7">
      <c r="A9" s="1" t="s">
        <v>99</v>
      </c>
      <c r="B9" t="s">
        <v>100</v>
      </c>
      <c r="C9" t="s">
        <v>101</v>
      </c>
      <c r="D9" t="s">
        <v>102</v>
      </c>
      <c r="E9" t="s">
        <v>103</v>
      </c>
      <c r="F9" t="s">
        <v>104</v>
      </c>
      <c r="G9" t="s">
        <v>105</v>
      </c>
    </row>
    <row r="10" spans="1:7">
      <c r="A10" s="1" t="s">
        <v>106</v>
      </c>
      <c r="B10">
        <v>1289</v>
      </c>
      <c r="C10">
        <v>0</v>
      </c>
      <c r="D10">
        <v>0</v>
      </c>
    </row>
    <row r="11" spans="1:7">
      <c r="A11" s="1" t="s">
        <v>107</v>
      </c>
      <c r="B11" t="s">
        <v>108</v>
      </c>
      <c r="C11">
        <v>4</v>
      </c>
    </row>
    <row r="12" spans="1:7">
      <c r="A12" s="1" t="s">
        <v>109</v>
      </c>
      <c r="B12" t="s">
        <v>108</v>
      </c>
      <c r="C12">
        <v>4</v>
      </c>
    </row>
    <row r="13" spans="1:7">
      <c r="A13" s="1" t="s">
        <v>110</v>
      </c>
      <c r="B13" t="s">
        <v>108</v>
      </c>
      <c r="C13">
        <v>3</v>
      </c>
    </row>
    <row r="14" spans="1:7">
      <c r="A14" s="1" t="s">
        <v>111</v>
      </c>
      <c r="B14" t="s">
        <v>108</v>
      </c>
      <c r="C14">
        <v>5</v>
      </c>
    </row>
    <row r="15" spans="1:7">
      <c r="A15" s="1" t="s">
        <v>112</v>
      </c>
      <c r="B15" t="s">
        <v>113</v>
      </c>
      <c r="C15" t="s">
        <v>114</v>
      </c>
      <c r="D15" t="s">
        <v>114</v>
      </c>
      <c r="E15" t="s">
        <v>114</v>
      </c>
      <c r="F15">
        <v>1</v>
      </c>
    </row>
    <row r="16" spans="1:7">
      <c r="A16" s="1" t="s">
        <v>115</v>
      </c>
      <c r="B16">
        <v>1.1100000000000001</v>
      </c>
      <c r="C16">
        <v>1.1200000000000001</v>
      </c>
    </row>
    <row r="17" spans="1:13">
      <c r="A17" s="1" t="s">
        <v>116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>
      <c r="A18" s="1" t="s">
        <v>117</v>
      </c>
      <c r="B18">
        <v>1.25</v>
      </c>
      <c r="C18">
        <v>1.071</v>
      </c>
    </row>
    <row r="19" spans="1:13">
      <c r="A19" s="1" t="s">
        <v>118</v>
      </c>
    </row>
    <row r="20" spans="1:13">
      <c r="A20" s="1" t="s">
        <v>119</v>
      </c>
      <c r="B20" s="1" t="s">
        <v>89</v>
      </c>
      <c r="C20">
        <v>1</v>
      </c>
    </row>
    <row r="21" spans="1:13">
      <c r="A21" t="s">
        <v>121</v>
      </c>
      <c r="B21" t="s">
        <v>122</v>
      </c>
      <c r="C21" t="s">
        <v>123</v>
      </c>
    </row>
    <row r="22" spans="1:13">
      <c r="A22">
        <v>1</v>
      </c>
      <c r="B22" s="1" t="s">
        <v>124</v>
      </c>
      <c r="C22" s="1" t="s">
        <v>28</v>
      </c>
    </row>
    <row r="23" spans="1:13">
      <c r="A23">
        <v>2</v>
      </c>
      <c r="B23" s="1" t="s">
        <v>125</v>
      </c>
      <c r="C23" s="1" t="s">
        <v>126</v>
      </c>
    </row>
    <row r="24" spans="1:13">
      <c r="A24">
        <v>3</v>
      </c>
      <c r="B24" s="1" t="s">
        <v>127</v>
      </c>
      <c r="C24" s="1" t="s">
        <v>128</v>
      </c>
    </row>
    <row r="25" spans="1:13">
      <c r="A25">
        <v>4</v>
      </c>
      <c r="B25" s="1" t="s">
        <v>129</v>
      </c>
      <c r="C25" s="1" t="s">
        <v>130</v>
      </c>
    </row>
    <row r="26" spans="1:13">
      <c r="A26">
        <v>5</v>
      </c>
      <c r="B26" s="1" t="s">
        <v>131</v>
      </c>
      <c r="C26" s="1" t="s">
        <v>132</v>
      </c>
    </row>
    <row r="27" spans="1:13">
      <c r="A27">
        <v>6</v>
      </c>
      <c r="B27" s="1" t="s">
        <v>77</v>
      </c>
      <c r="C27" s="1" t="s">
        <v>76</v>
      </c>
    </row>
    <row r="28" spans="1:13">
      <c r="A28">
        <v>7</v>
      </c>
      <c r="B28" s="1" t="s">
        <v>75</v>
      </c>
      <c r="C28" s="1" t="s">
        <v>74</v>
      </c>
    </row>
    <row r="29" spans="1:13">
      <c r="A29">
        <v>8</v>
      </c>
      <c r="B29" s="1" t="s">
        <v>12</v>
      </c>
      <c r="C29" s="1" t="s">
        <v>12</v>
      </c>
    </row>
    <row r="30" spans="1:13">
      <c r="A30">
        <v>9</v>
      </c>
      <c r="B30" s="1" t="s">
        <v>133</v>
      </c>
      <c r="C30" s="1" t="s">
        <v>12</v>
      </c>
    </row>
    <row r="31" spans="1:13">
      <c r="A31" t="s">
        <v>113</v>
      </c>
      <c r="B31" s="1" t="s">
        <v>134</v>
      </c>
      <c r="C31" s="1" t="s">
        <v>12</v>
      </c>
    </row>
    <row r="32" spans="1:13">
      <c r="A32" t="s">
        <v>135</v>
      </c>
      <c r="B32" s="1" t="s">
        <v>136</v>
      </c>
      <c r="C32" s="1" t="s">
        <v>12</v>
      </c>
    </row>
    <row r="33" spans="1:3">
      <c r="A33" t="s">
        <v>89</v>
      </c>
      <c r="B33" s="1" t="s">
        <v>134</v>
      </c>
      <c r="C33" s="1" t="s">
        <v>12</v>
      </c>
    </row>
    <row r="34" spans="1:3">
      <c r="A34" t="s">
        <v>137</v>
      </c>
      <c r="B34" s="1" t="s">
        <v>134</v>
      </c>
      <c r="C34" s="1" t="s">
        <v>12</v>
      </c>
    </row>
    <row r="35" spans="1:3">
      <c r="A35" t="s">
        <v>138</v>
      </c>
      <c r="B35" s="1" t="s">
        <v>134</v>
      </c>
      <c r="C35" s="1" t="s">
        <v>12</v>
      </c>
    </row>
    <row r="36" spans="1:3">
      <c r="A36" t="s">
        <v>13</v>
      </c>
      <c r="B36" s="1" t="s">
        <v>134</v>
      </c>
      <c r="C36" s="1" t="s">
        <v>12</v>
      </c>
    </row>
    <row r="37" spans="1:3">
      <c r="A37" t="s">
        <v>139</v>
      </c>
      <c r="B37" s="1" t="s">
        <v>134</v>
      </c>
      <c r="C37" s="1" t="s">
        <v>12</v>
      </c>
    </row>
    <row r="38" spans="1:3">
      <c r="A38" t="s">
        <v>140</v>
      </c>
      <c r="B38" s="1" t="s">
        <v>134</v>
      </c>
      <c r="C38" s="1" t="s">
        <v>12</v>
      </c>
    </row>
    <row r="39" spans="1:3">
      <c r="A39" t="s">
        <v>141</v>
      </c>
      <c r="B39" s="1" t="s">
        <v>134</v>
      </c>
      <c r="C39" s="1" t="s">
        <v>12</v>
      </c>
    </row>
    <row r="40" spans="1:3">
      <c r="A40" t="s">
        <v>142</v>
      </c>
      <c r="B40" s="1" t="s">
        <v>134</v>
      </c>
      <c r="C40" s="1" t="s">
        <v>12</v>
      </c>
    </row>
    <row r="43" spans="1:3">
      <c r="A43" t="s">
        <v>120</v>
      </c>
      <c r="B43">
        <v>1234</v>
      </c>
    </row>
  </sheetData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99E7C2-BB24-47C9-AAF3-6E0E4280A425}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6</vt:i4>
      </vt:variant>
    </vt:vector>
  </HeadingPairs>
  <TitlesOfParts>
    <vt:vector size="13" baseType="lpstr">
      <vt:lpstr>표지</vt:lpstr>
      <vt:lpstr>원가계산서</vt:lpstr>
      <vt:lpstr>공종별집계표</vt:lpstr>
      <vt:lpstr>공종별내역서 (2)</vt:lpstr>
      <vt:lpstr>산출서</vt:lpstr>
      <vt:lpstr> 공사설정 </vt:lpstr>
      <vt:lpstr>Sheet1</vt:lpstr>
      <vt:lpstr>'공종별내역서 (2)'!Print_Area</vt:lpstr>
      <vt:lpstr>공종별집계표!Print_Area</vt:lpstr>
      <vt:lpstr>원가계산서!Print_Area</vt:lpstr>
      <vt:lpstr>'공종별내역서 (2)'!Print_Titles</vt:lpstr>
      <vt:lpstr>공종별집계표!Print_Titles</vt:lpstr>
      <vt:lpstr>원가계산서!Print_Titles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COMTREE</dc:creator>
  <cp:lastModifiedBy>user1</cp:lastModifiedBy>
  <cp:lastPrinted>2026-07-01T01:08:32Z</cp:lastPrinted>
  <dcterms:created xsi:type="dcterms:W3CDTF">2026-06-01T02:37:00Z</dcterms:created>
  <dcterms:modified xsi:type="dcterms:W3CDTF">2026-10-07T05:11:36Z</dcterms:modified>
</cp:coreProperties>
</file>